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5" activeTab="0"/>
  </bookViews>
  <sheets>
    <sheet name="План 2024( реш.311 от 04.04.24)" sheetId="1" r:id="rId1"/>
  </sheets>
  <externalReferences>
    <externalReference r:id="rId4"/>
  </externalReferences>
  <definedNames>
    <definedName name="_xlnm._FilterDatabase" localSheetId="0" hidden="1">'План 2024( реш.311 от 04.04.24)'!$A$19:$F$310</definedName>
    <definedName name="_xlnm.Print_Area" localSheetId="0">'План 2024( реш.311 от 04.04.24)'!$A$1:$J$254</definedName>
  </definedNames>
  <calcPr fullCalcOnLoad="1"/>
</workbook>
</file>

<file path=xl/comments1.xml><?xml version="1.0" encoding="utf-8"?>
<comments xmlns="http://schemas.openxmlformats.org/spreadsheetml/2006/main">
  <authors>
    <author>user</author>
    <author>александр стрельцов</author>
  </authors>
  <commentList>
    <comment ref="F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БЫЛО 100 000
</t>
        </r>
      </text>
    </comment>
    <comment ref="F7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БЫЛО 50 000
</t>
        </r>
      </text>
    </comment>
    <comment ref="F10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БЫЛО 60000
</t>
        </r>
      </text>
    </comment>
    <comment ref="F1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резерв 430564,48</t>
        </r>
      </text>
    </comment>
    <comment ref="B13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02/04/24 замена ул. Без названия на ул. 80 лет Победы
</t>
        </r>
      </text>
    </comment>
    <comment ref="E17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БЫЛО 0,5
</t>
        </r>
      </text>
    </comment>
    <comment ref="F17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БЫЛО 95 000
</t>
        </r>
      </text>
    </comment>
    <comment ref="C176" authorId="1">
      <text>
        <r>
          <rPr>
            <b/>
            <sz val="9"/>
            <rFont val="Tahoma"/>
            <family val="2"/>
          </rPr>
          <t>александр стрельцов:</t>
        </r>
        <r>
          <rPr>
            <sz val="9"/>
            <rFont val="Tahoma"/>
            <family val="2"/>
          </rPr>
          <t xml:space="preserve">
отдельно должны быть проектные работы
</t>
        </r>
      </text>
    </comment>
    <comment ref="F19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было 700, снял Тишкевич</t>
        </r>
      </text>
    </comment>
    <comment ref="F2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добавлено с лимита 107….
</t>
        </r>
      </text>
    </comment>
  </commentList>
</comments>
</file>

<file path=xl/sharedStrings.xml><?xml version="1.0" encoding="utf-8"?>
<sst xmlns="http://schemas.openxmlformats.org/spreadsheetml/2006/main" count="755" uniqueCount="276">
  <si>
    <t>УТВЕРЖДАЮ:</t>
  </si>
  <si>
    <t>Приложение 2</t>
  </si>
  <si>
    <t>к решению</t>
  </si>
  <si>
    <t xml:space="preserve">Минского областного </t>
  </si>
  <si>
    <t>исполнительного комитета</t>
  </si>
  <si>
    <t>04.04.2024 №311</t>
  </si>
  <si>
    <t>УТВЕРЖДЕНО:</t>
  </si>
  <si>
    <t>Первый заместитель председателя</t>
  </si>
  <si>
    <t>Минского районного</t>
  </si>
  <si>
    <t xml:space="preserve">_____________________________ </t>
  </si>
  <si>
    <t>30 апреля 2024г.</t>
  </si>
  <si>
    <t>!!!сверять ПСД</t>
  </si>
  <si>
    <t>ПЕРЕЧЕНЬ</t>
  </si>
  <si>
    <t xml:space="preserve">объектов текущего ремонта </t>
  </si>
  <si>
    <t>улиц населенных пунктов Минского района на 2024 г.</t>
  </si>
  <si>
    <t>№ п.п.</t>
  </si>
  <si>
    <t>Наименование объектов, район</t>
  </si>
  <si>
    <t>Виды работ</t>
  </si>
  <si>
    <t xml:space="preserve">Ед. изм. </t>
  </si>
  <si>
    <t>Объем работ</t>
  </si>
  <si>
    <t>Объем финансирования, тыс.руб.</t>
  </si>
  <si>
    <t>Срок выполнения работ</t>
  </si>
  <si>
    <t>Заказчик, наименование, адрес, номер телефона</t>
  </si>
  <si>
    <t>Подрядчик, наименование, адрес, номер телефона</t>
  </si>
  <si>
    <t xml:space="preserve">начало </t>
  </si>
  <si>
    <t>окончание</t>
  </si>
  <si>
    <t>СМР</t>
  </si>
  <si>
    <t>ПСД</t>
  </si>
  <si>
    <t>АН</t>
  </si>
  <si>
    <t>ТН</t>
  </si>
  <si>
    <t>Прочие</t>
  </si>
  <si>
    <t>Оборуд.</t>
  </si>
  <si>
    <t>Пуск.нал.</t>
  </si>
  <si>
    <t>Содержание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</si>
  <si>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</si>
  <si>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</si>
  <si>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</si>
  <si>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</si>
  <si>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</si>
  <si>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</si>
  <si>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</si>
  <si>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</si>
  <si>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</si>
  <si>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</si>
  <si>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</si>
  <si>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</si>
  <si>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 РАСХОДЫ НА ТЕКУЩЕЕ СОДЕРЖАНИЕ И ТЕКУЩИЙ РЕМОНТ УЛИЧНО-ДОРОЖНОЙ СЕТИ   - всего</t>
  </si>
  <si>
    <t>км</t>
  </si>
  <si>
    <t>1</t>
  </si>
  <si>
    <t xml:space="preserve">Текущий ремонт улиц, всего  </t>
  </si>
  <si>
    <t>из них:  - проектные  работы</t>
  </si>
  <si>
    <t>шт</t>
  </si>
  <si>
    <t xml:space="preserve">  +т/н </t>
  </si>
  <si>
    <t xml:space="preserve">             - строительные работы -всего</t>
  </si>
  <si>
    <t xml:space="preserve"> из них: стоимость оборудования</t>
  </si>
  <si>
    <t xml:space="preserve">                  пуско-наладочные работы</t>
  </si>
  <si>
    <t>авторский надзор+технический надзор</t>
  </si>
  <si>
    <t>скрыть</t>
  </si>
  <si>
    <t>прочие</t>
  </si>
  <si>
    <t>1.1</t>
  </si>
  <si>
    <t>БОРОВЛЯНСКИЙ С/С- всего</t>
  </si>
  <si>
    <t>ОСТАТОК НА 01.03.24</t>
  </si>
  <si>
    <t>выполнение</t>
  </si>
  <si>
    <t>д. Лесковка</t>
  </si>
  <si>
    <t>ул. Рублевская</t>
  </si>
  <si>
    <r>
      <rPr>
        <b/>
        <sz val="11"/>
        <color indexed="8"/>
        <rFont val="Times New Roman"/>
        <family val="1"/>
      </rPr>
      <t>разработка ПСД</t>
    </r>
    <r>
      <rPr>
        <sz val="11"/>
        <color indexed="8"/>
        <rFont val="Times New Roman"/>
        <family val="1"/>
      </rPr>
      <t xml:space="preserve"> </t>
    </r>
  </si>
  <si>
    <t>Минский районный исполнительный комитет г. Минск, ул. Ольшевского, 8</t>
  </si>
  <si>
    <t xml:space="preserve">п. Опытный </t>
  </si>
  <si>
    <t>ул. Радужная</t>
  </si>
  <si>
    <t>исправление профиля гравийного покрытия с добавлением материалов, устройство однослойного покрытия из а/б смесей</t>
  </si>
  <si>
    <t>июль</t>
  </si>
  <si>
    <t>август</t>
  </si>
  <si>
    <t>ГП "Минрайгорремавтодор" г.Заславль, ул. Кирова, 12, тел. 516-49-12</t>
  </si>
  <si>
    <t>ул. Веселая</t>
  </si>
  <si>
    <t>д. Боровляны:</t>
  </si>
  <si>
    <t>ул. Купаловская</t>
  </si>
  <si>
    <t>д.Дроздово</t>
  </si>
  <si>
    <t>ул.Никольская</t>
  </si>
  <si>
    <t>апрель</t>
  </si>
  <si>
    <t>май</t>
  </si>
  <si>
    <t>д.Чертяж</t>
  </si>
  <si>
    <t>ул. Восточная</t>
  </si>
  <si>
    <r>
      <rPr>
        <b/>
        <sz val="11"/>
        <color indexed="8"/>
        <rFont val="Times New Roman"/>
        <family val="1"/>
      </rPr>
      <t>разработка ПСД (водоотвод)</t>
    </r>
    <r>
      <rPr>
        <sz val="11"/>
        <color indexed="8"/>
        <rFont val="Times New Roman"/>
        <family val="1"/>
      </rPr>
      <t xml:space="preserve"> </t>
    </r>
  </si>
  <si>
    <t>ул. Вересовая</t>
  </si>
  <si>
    <t>1.2</t>
  </si>
  <si>
    <t>ГОРАНСКИЙ  С/С- всего</t>
  </si>
  <si>
    <t>аг.Чачково</t>
  </si>
  <si>
    <t>ул. Лесная</t>
  </si>
  <si>
    <r>
      <rPr>
        <b/>
        <sz val="11"/>
        <rFont val="Times New Roman"/>
        <family val="1"/>
      </rPr>
      <t>разработка ПСД</t>
    </r>
    <r>
      <rPr>
        <sz val="11"/>
        <rFont val="Times New Roman"/>
        <family val="1"/>
      </rPr>
      <t xml:space="preserve"> на устройство водоотводной трубы и выполнение работ</t>
    </r>
  </si>
  <si>
    <t>октябрь</t>
  </si>
  <si>
    <t>ноябрь</t>
  </si>
  <si>
    <t>ул. Новая</t>
  </si>
  <si>
    <t>июнь</t>
  </si>
  <si>
    <t>ул. Приозерная</t>
  </si>
  <si>
    <t>д. Горани</t>
  </si>
  <si>
    <t>ул. Гарнизонная</t>
  </si>
  <si>
    <t>устройство площадки для стоянки автомобилей, устройство однослойного покрытия из а/б</t>
  </si>
  <si>
    <t>1.3</t>
  </si>
  <si>
    <t>ЖДАНОВИЧСКИЙ С/С-  всего</t>
  </si>
  <si>
    <r>
      <rPr>
        <b/>
        <i/>
        <sz val="12"/>
        <color indexed="8"/>
        <rFont val="Times New Roman"/>
        <family val="1"/>
      </rPr>
      <t>аг. Ратомка:</t>
    </r>
    <r>
      <rPr>
        <b/>
        <sz val="12"/>
        <color indexed="8"/>
        <rFont val="Times New Roman"/>
        <family val="1"/>
      </rPr>
      <t xml:space="preserve">       </t>
    </r>
  </si>
  <si>
    <t>сентябрь</t>
  </si>
  <si>
    <r>
      <rPr>
        <b/>
        <sz val="11"/>
        <rFont val="Times New Roman"/>
        <family val="1"/>
      </rPr>
      <t>разработка ПСД</t>
    </r>
    <r>
      <rPr>
        <sz val="11"/>
        <rFont val="Times New Roman"/>
        <family val="1"/>
      </rPr>
      <t xml:space="preserve"> </t>
    </r>
  </si>
  <si>
    <t>Минский районный исполнительный комитет г. Минск, ул. Ольшевского, 9</t>
  </si>
  <si>
    <t>ул. Славянская</t>
  </si>
  <si>
    <t>ул. Виноградная</t>
  </si>
  <si>
    <t xml:space="preserve">апрель </t>
  </si>
  <si>
    <t xml:space="preserve">Устройство разворотного кольца на проезде к РИЗ "Баньковщина" между ул. Сосновый Бор и ул. Полесская </t>
  </si>
  <si>
    <t>устройство дополнительных остановочных пунктов маршрутного пассажирского транспорта</t>
  </si>
  <si>
    <r>
      <rPr>
        <b/>
        <i/>
        <sz val="12"/>
        <color indexed="8"/>
        <rFont val="Times New Roman"/>
        <family val="1"/>
      </rPr>
      <t>аг. Тарасово:</t>
    </r>
    <r>
      <rPr>
        <b/>
        <sz val="12"/>
        <color indexed="8"/>
        <rFont val="Times New Roman"/>
        <family val="1"/>
      </rPr>
      <t xml:space="preserve">       </t>
    </r>
  </si>
  <si>
    <t>ул.Ясная</t>
  </si>
  <si>
    <r>
      <rPr>
        <b/>
        <i/>
        <sz val="12"/>
        <color indexed="8"/>
        <rFont val="Times New Roman"/>
        <family val="1"/>
      </rPr>
      <t>аг.Ждановичи</t>
    </r>
    <r>
      <rPr>
        <b/>
        <sz val="12"/>
        <color indexed="8"/>
        <rFont val="Times New Roman"/>
        <family val="1"/>
      </rPr>
      <t xml:space="preserve">  </t>
    </r>
  </si>
  <si>
    <t>ул. Дружная</t>
  </si>
  <si>
    <t>исправление профиля с добавлением ПГС, устройство однослойного покрытия из а/б смесей</t>
  </si>
  <si>
    <t>ул. Школьная, ул. Широкая, ул. Садовая</t>
  </si>
  <si>
    <r>
      <rPr>
        <b/>
        <sz val="11"/>
        <color indexed="8"/>
        <rFont val="Times New Roman"/>
        <family val="1"/>
      </rPr>
      <t>разработка ПСД</t>
    </r>
    <r>
      <rPr>
        <sz val="11"/>
        <color indexed="8"/>
        <rFont val="Times New Roman"/>
        <family val="1"/>
      </rPr>
      <t xml:space="preserve"> (пешеходная связь)</t>
    </r>
  </si>
  <si>
    <t xml:space="preserve">Устройство пешеходной и велосипедной дорожек по ул.1-я Дачная и подъездная  дорога к ней с дороги Н-9036 Ждановичи-С.Городок  </t>
  </si>
  <si>
    <t>д. Дегтяревка</t>
  </si>
  <si>
    <t>ул. Школьная</t>
  </si>
  <si>
    <t>ул. Парковая</t>
  </si>
  <si>
    <t>1.4</t>
  </si>
  <si>
    <t xml:space="preserve">ЗАСЛАВСКИЙ  Г/И , всего </t>
  </si>
  <si>
    <t>пер. Дружный</t>
  </si>
  <si>
    <t>ул.Загородная</t>
  </si>
  <si>
    <t>ул. Минская</t>
  </si>
  <si>
    <r>
      <rPr>
        <b/>
        <sz val="11"/>
        <color indexed="8"/>
        <rFont val="Times New Roman"/>
        <family val="1"/>
      </rPr>
      <t xml:space="preserve">разработка ПСД </t>
    </r>
    <r>
      <rPr>
        <sz val="11"/>
        <color indexed="8"/>
        <rFont val="Times New Roman"/>
        <family val="1"/>
      </rPr>
      <t xml:space="preserve">и выполнение работ по устройству системы поверхностного водоотвода </t>
    </r>
  </si>
  <si>
    <t>ул.Я.Коласа</t>
  </si>
  <si>
    <r>
      <rPr>
        <b/>
        <sz val="11"/>
        <rFont val="Times New Roman"/>
        <family val="1"/>
      </rPr>
      <t>разработка ПСД</t>
    </r>
    <r>
      <rPr>
        <sz val="11"/>
        <rFont val="Times New Roman"/>
        <family val="1"/>
      </rPr>
      <t xml:space="preserve"> и выполнение работ по устройству  площадки для остановки (стоянки) транспорта</t>
    </r>
    <r>
      <rPr>
        <b/>
        <sz val="11"/>
        <rFont val="Times New Roman"/>
        <family val="1"/>
      </rPr>
      <t xml:space="preserve"> </t>
    </r>
  </si>
  <si>
    <t>ул. Студенецкая М-н №1 (между ж.д. 9,10)</t>
  </si>
  <si>
    <t>восстановление ровности верхних слоев а/б покрытия из а/б смесей</t>
  </si>
  <si>
    <t>ул. Студенец кая М-н №1 (между ж.д.14,17)</t>
  </si>
  <si>
    <t>+</t>
  </si>
  <si>
    <t>1.5</t>
  </si>
  <si>
    <t>КОЛОДИЩАНСКИЙ   С/С-  всего</t>
  </si>
  <si>
    <r>
      <rPr>
        <b/>
        <i/>
        <sz val="12"/>
        <color indexed="8"/>
        <rFont val="Times New Roman"/>
        <family val="1"/>
      </rPr>
      <t>аг.Колодищи</t>
    </r>
    <r>
      <rPr>
        <b/>
        <sz val="12"/>
        <color indexed="8"/>
        <rFont val="Times New Roman"/>
        <family val="1"/>
      </rPr>
      <t xml:space="preserve">         </t>
    </r>
  </si>
  <si>
    <t>ул. Энтузиастов</t>
  </si>
  <si>
    <r>
      <rPr>
        <b/>
        <sz val="11"/>
        <color indexed="8"/>
        <rFont val="Times New Roman"/>
        <family val="1"/>
      </rPr>
      <t>разработка ПСД</t>
    </r>
    <r>
      <rPr>
        <sz val="11"/>
        <color indexed="8"/>
        <rFont val="Times New Roman"/>
        <family val="1"/>
      </rPr>
      <t xml:space="preserve"> (водоотвод)</t>
    </r>
  </si>
  <si>
    <t>ул. Липовая Алея</t>
  </si>
  <si>
    <t>ул. Белые Росы</t>
  </si>
  <si>
    <t>ул. Беловежская</t>
  </si>
  <si>
    <t>ул. Туровская</t>
  </si>
  <si>
    <t>ул. Культурная  (от а/д Н-9031 Заславль-Колодищи до РУП "Автобаза Минкультуры)</t>
  </si>
  <si>
    <r>
      <rPr>
        <b/>
        <sz val="11"/>
        <color indexed="8"/>
        <rFont val="Times New Roman"/>
        <family val="1"/>
      </rPr>
      <t>разработка ПСД</t>
    </r>
    <r>
      <rPr>
        <sz val="11"/>
        <color indexed="8"/>
        <rFont val="Times New Roman"/>
        <family val="1"/>
      </rPr>
      <t xml:space="preserve">  </t>
    </r>
  </si>
  <si>
    <t>проезд от ул. Карповича к маг. "Виталюр"</t>
  </si>
  <si>
    <t>ул. Короткая</t>
  </si>
  <si>
    <r>
      <rPr>
        <b/>
        <sz val="11"/>
        <color indexed="8"/>
        <rFont val="Times New Roman"/>
        <family val="1"/>
      </rPr>
      <t xml:space="preserve">разработка ПСД </t>
    </r>
    <r>
      <rPr>
        <sz val="11"/>
        <color indexed="8"/>
        <rFont val="Times New Roman"/>
        <family val="1"/>
      </rPr>
      <t>и выполнение работ по устройству системы поверхностного водоотвода, восстановление ровности верхних слоев а/б покрытия из а/б смесей</t>
    </r>
  </si>
  <si>
    <t>ул. Николаевская</t>
  </si>
  <si>
    <t>ул. Изумрудная</t>
  </si>
  <si>
    <t>ул. Красивая</t>
  </si>
  <si>
    <t xml:space="preserve">Устройство водоотвода и тротуара на улице ул.Короткевича </t>
  </si>
  <si>
    <t xml:space="preserve">устройство тротуара, пешеходных дорожек 245 м, восстановление ровности верхних слоев а/б покрытия путем фрезерования,  устройство однослойного покрытия из а/б смесей </t>
  </si>
  <si>
    <t xml:space="preserve">РЕЗЕРВ </t>
  </si>
  <si>
    <t>ул. Нижняя</t>
  </si>
  <si>
    <t>пер.Окольный</t>
  </si>
  <si>
    <t>1.6</t>
  </si>
  <si>
    <t>КРУПИЦКИЙ    С/С-  всего</t>
  </si>
  <si>
    <t>д.Каралино</t>
  </si>
  <si>
    <t>ул. Центральная</t>
  </si>
  <si>
    <t>1.7</t>
  </si>
  <si>
    <t>ЛОШАНСКИЙ   С/С-  всего</t>
  </si>
  <si>
    <t>1.8</t>
  </si>
  <si>
    <t>ЛУГОВОСЛОБОДСКОЙ   С/С-  всего</t>
  </si>
  <si>
    <t>д.Замосточье</t>
  </si>
  <si>
    <t>ул. Юбилейная</t>
  </si>
  <si>
    <r>
      <rPr>
        <b/>
        <sz val="11"/>
        <color indexed="8"/>
        <rFont val="Times New Roman"/>
        <family val="1"/>
      </rPr>
      <t xml:space="preserve">разработка ПСД </t>
    </r>
    <r>
      <rPr>
        <sz val="11"/>
        <color indexed="8"/>
        <rFont val="Times New Roman"/>
        <family val="1"/>
      </rPr>
      <t>(водоотвод)</t>
    </r>
  </si>
  <si>
    <t>д. Прилесье</t>
  </si>
  <si>
    <t>ул. Без названия</t>
  </si>
  <si>
    <t>1.9</t>
  </si>
  <si>
    <t>МАЧУЛИЩАНСКИЙ П/С-  всего</t>
  </si>
  <si>
    <t xml:space="preserve">г.п.Мачулищи </t>
  </si>
  <si>
    <t>проезд (А) от дома №7 до дома 31 по ул. Молодёжная</t>
  </si>
  <si>
    <r>
      <rPr>
        <b/>
        <sz val="11"/>
        <color indexed="8"/>
        <rFont val="Times New Roman"/>
        <family val="1"/>
      </rPr>
      <t>разработка ПСД</t>
    </r>
    <r>
      <rPr>
        <sz val="11"/>
        <color indexed="8"/>
        <rFont val="Times New Roman"/>
        <family val="1"/>
      </rPr>
      <t xml:space="preserve"> и проведение работ по восстановлению ровности верхних слоев а/б покрытия путем фрезерования,  устройство однослойного покрытия из а/б смесей </t>
    </r>
  </si>
  <si>
    <t>проезд Купаловский</t>
  </si>
  <si>
    <t>1.10</t>
  </si>
  <si>
    <t>МИХАНОВИЧСКИЙ   С/С-  всего</t>
  </si>
  <si>
    <t>1.11</t>
  </si>
  <si>
    <t>НОВОДВОРСКИЙ  С/С-  всего</t>
  </si>
  <si>
    <t>д. Большой Тростенец</t>
  </si>
  <si>
    <t>д. Большое Стиклево</t>
  </si>
  <si>
    <t>ул. Московская</t>
  </si>
  <si>
    <t>разработка ПСД</t>
  </si>
  <si>
    <t>д. Королищевичи</t>
  </si>
  <si>
    <r>
      <rPr>
        <b/>
        <sz val="11"/>
        <color indexed="8"/>
        <rFont val="Times New Roman"/>
        <family val="1"/>
      </rPr>
      <t xml:space="preserve">разработка ПСД </t>
    </r>
    <r>
      <rPr>
        <sz val="11"/>
        <color indexed="8"/>
        <rFont val="Times New Roman"/>
        <family val="1"/>
      </rPr>
      <t>и выполнение работ по устройству поверхностного водоотвода</t>
    </r>
  </si>
  <si>
    <t>д. Климовичи</t>
  </si>
  <si>
    <t>ул. без названия</t>
  </si>
  <si>
    <t>д.Пашковичи</t>
  </si>
  <si>
    <t>д. Ельница</t>
  </si>
  <si>
    <t>ул. Детдомовская</t>
  </si>
  <si>
    <t>1.12</t>
  </si>
  <si>
    <t>ОСТРОШИЦКО-ГОРОДОКСКИЙ  С/С-  всего</t>
  </si>
  <si>
    <t>1.13</t>
  </si>
  <si>
    <t>ПАПЕРНЯНСКИЙ   С/С-  всего</t>
  </si>
  <si>
    <t>аг. Вишневка</t>
  </si>
  <si>
    <t>93</t>
  </si>
  <si>
    <t>пер. Садовый</t>
  </si>
  <si>
    <r>
      <rPr>
        <b/>
        <sz val="11"/>
        <color indexed="8"/>
        <rFont val="Times New Roman"/>
        <family val="1"/>
      </rPr>
      <t>разработка ПСД</t>
    </r>
    <r>
      <rPr>
        <sz val="11"/>
        <color indexed="8"/>
        <rFont val="Times New Roman"/>
        <family val="1"/>
      </rPr>
      <t>, исправление профиля гравийного покрытия с добавлением материалов, устройство однослойного покрытия из а/б смесей</t>
    </r>
  </si>
  <si>
    <t>д. Паперня</t>
  </si>
  <si>
    <r>
      <rPr>
        <b/>
        <sz val="11"/>
        <rFont val="Times New Roman"/>
        <family val="1"/>
      </rPr>
      <t>разработка ПСД</t>
    </r>
    <r>
      <rPr>
        <sz val="11"/>
        <rFont val="Times New Roman"/>
        <family val="1"/>
      </rPr>
      <t xml:space="preserve">  и выполнение работ по устройству дополнительных остановочных пунктов маршрутного пассажирского транспорта, устройство тротуаров и пешеходных дорожек</t>
    </r>
  </si>
  <si>
    <t>д. Лапоровичи</t>
  </si>
  <si>
    <t>ул. Спортивная</t>
  </si>
  <si>
    <t xml:space="preserve">восстановление ровности верхних слоев а/б покрытия, устройство однослойного покрытия из а/б смесей </t>
  </si>
  <si>
    <t>ул. Янтарная</t>
  </si>
  <si>
    <t>1.14</t>
  </si>
  <si>
    <t>ПЕТРИШКОВСКИЙ С/С-  всего</t>
  </si>
  <si>
    <t>д.Крички</t>
  </si>
  <si>
    <t>ул.Центральная</t>
  </si>
  <si>
    <r>
      <rPr>
        <b/>
        <sz val="11"/>
        <color indexed="8"/>
        <rFont val="Times New Roman"/>
        <family val="1"/>
      </rPr>
      <t>разработка ПСД</t>
    </r>
    <r>
      <rPr>
        <sz val="11"/>
        <color indexed="8"/>
        <rFont val="Times New Roman"/>
        <family val="1"/>
      </rPr>
      <t xml:space="preserve"> и выполнение работ по устройству системы поверхностного водоотвода</t>
    </r>
  </si>
  <si>
    <t>д.Недреска</t>
  </si>
  <si>
    <t>ул. Солнечная</t>
  </si>
  <si>
    <t>пер. Северный</t>
  </si>
  <si>
    <t>д. Светлый Путь</t>
  </si>
  <si>
    <t>аг. Петришки</t>
  </si>
  <si>
    <t>ул. Молодежная</t>
  </si>
  <si>
    <t>ул.Рабочая</t>
  </si>
  <si>
    <t>пер. Смолячковый</t>
  </si>
  <si>
    <t>ул. Гагарина</t>
  </si>
  <si>
    <t>1.15</t>
  </si>
  <si>
    <t>САМОХВАЛОВИЧСКИЙ С/С-  всего</t>
  </si>
  <si>
    <t>аг.Самохваловичи</t>
  </si>
  <si>
    <t>ул.Альсмика</t>
  </si>
  <si>
    <r>
      <rPr>
        <b/>
        <sz val="11"/>
        <color indexed="8"/>
        <rFont val="Times New Roman"/>
        <family val="1"/>
      </rPr>
      <t xml:space="preserve">разработка ПСД </t>
    </r>
    <r>
      <rPr>
        <sz val="11"/>
        <color indexed="8"/>
        <rFont val="Times New Roman"/>
        <family val="1"/>
      </rPr>
      <t xml:space="preserve">и выполнение работ по устройству системы поверхностного водоотвода </t>
    </r>
  </si>
  <si>
    <t>ул. Набережная</t>
  </si>
  <si>
    <t>1.16</t>
  </si>
  <si>
    <t>СЕНИЦКИЙ С/С-  всего</t>
  </si>
  <si>
    <t xml:space="preserve">аг.Сеница </t>
  </si>
  <si>
    <t>ул.Цветочная</t>
  </si>
  <si>
    <t>пер.Заречный</t>
  </si>
  <si>
    <r>
      <rPr>
        <b/>
        <sz val="11"/>
        <color indexed="8"/>
        <rFont val="Times New Roman"/>
        <family val="1"/>
      </rPr>
      <t>разработка ПСД</t>
    </r>
    <r>
      <rPr>
        <sz val="11"/>
        <color indexed="8"/>
        <rFont val="Times New Roman"/>
        <family val="1"/>
      </rPr>
      <t xml:space="preserve"> и выполнение работ и ремонт элементов системы поверхностного водоотвода</t>
    </r>
    <r>
      <rPr>
        <b/>
        <sz val="11"/>
        <color indexed="8"/>
        <rFont val="Times New Roman"/>
        <family val="1"/>
      </rPr>
      <t xml:space="preserve"> </t>
    </r>
  </si>
  <si>
    <t>ул.Вишневая</t>
  </si>
  <si>
    <t>д. Колядичи</t>
  </si>
  <si>
    <t>д.Щитомиричи</t>
  </si>
  <si>
    <t>ул.Приветливая</t>
  </si>
  <si>
    <t>д. Подгай</t>
  </si>
  <si>
    <r>
      <rPr>
        <b/>
        <sz val="11"/>
        <color indexed="8"/>
        <rFont val="Times New Roman"/>
        <family val="1"/>
      </rPr>
      <t>разработка ПСД</t>
    </r>
    <r>
      <rPr>
        <sz val="11"/>
        <color indexed="8"/>
        <rFont val="Times New Roman"/>
        <family val="1"/>
      </rPr>
      <t xml:space="preserve"> на устройство водоотвода и ремонт проезжей части</t>
    </r>
  </si>
  <si>
    <t>п.Скориничи</t>
  </si>
  <si>
    <t>ул. Счастливая</t>
  </si>
  <si>
    <t>март</t>
  </si>
  <si>
    <t>1.17</t>
  </si>
  <si>
    <t>ХАТЕЖИНСКИЙ  С/С-  всего</t>
  </si>
  <si>
    <t>д.Старое Село</t>
  </si>
  <si>
    <t>ул. Зорная</t>
  </si>
  <si>
    <t>1.18</t>
  </si>
  <si>
    <t>ЩОМЫСЛИЦКИЙ С/С, всего</t>
  </si>
  <si>
    <t>д.Волковичи</t>
  </si>
  <si>
    <t>ул. Адама Каримова</t>
  </si>
  <si>
    <t>1.19</t>
  </si>
  <si>
    <t>ЮЗУФОВСКИЙ С/С, всего</t>
  </si>
  <si>
    <t>д.Мацки</t>
  </si>
  <si>
    <t>исправление профиля гравийного покрытия с добавлением материалов</t>
  </si>
  <si>
    <t>1.20</t>
  </si>
  <si>
    <t>Текущий ремонт улично-дорожной сети населенных пунктов</t>
  </si>
  <si>
    <t>Ремонтное профилирование, исправление профиля грунтовых и гравийных покрытий</t>
  </si>
  <si>
    <t>1.21</t>
  </si>
  <si>
    <t>Устранение дефектов верхних слоев асфальтобетонных покрытий</t>
  </si>
  <si>
    <t>1.22</t>
  </si>
  <si>
    <t>Установка (замена) технических средств организации дорожного движения, прочие работы</t>
  </si>
  <si>
    <t>1.23</t>
  </si>
  <si>
    <t>Нанесение  горизонтальной дорожной разметки</t>
  </si>
  <si>
    <t>1.24</t>
  </si>
  <si>
    <t>содержание технадзора</t>
  </si>
  <si>
    <t>технический надзор</t>
  </si>
  <si>
    <t>РЕЗЕРВ по текущему ремонту</t>
  </si>
  <si>
    <t>2</t>
  </si>
  <si>
    <t>Улично-дорожная сеть населенных пунктов</t>
  </si>
  <si>
    <t>содержание улично-дорожной сети</t>
  </si>
  <si>
    <t>Заместитель начальника отдела ЖКХ Минского райисполкома</t>
  </si>
  <si>
    <t>Ю.В. Артимовская</t>
  </si>
  <si>
    <t>Заместитель начальника управления</t>
  </si>
  <si>
    <t>архитектуры и строительства Минского райисполкома</t>
  </si>
  <si>
    <t>С.В.Олейчик</t>
  </si>
  <si>
    <t>ПЛАН на 03.01.24</t>
  </si>
  <si>
    <t>ПЛАН на 03.01.25</t>
  </si>
  <si>
    <t>ПЛАН на 03.01.26</t>
  </si>
  <si>
    <t>ПЛАН на 03.01.27</t>
  </si>
  <si>
    <t>ПЛАН на 03.01.28</t>
  </si>
  <si>
    <t>доп фин</t>
  </si>
  <si>
    <t>резерв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</si>
</sst>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_-* #,##0.00_р_._-;\-* #,##0.00_р_._-;_-* &quot;-&quot;??_р_._-;_-@_-"/>
    <numFmt numFmtId="168" formatCode="#,##0.0"/>
    <numFmt numFmtId="169" formatCode="_-* #,##0_р_._-;\-* #,##0_р_._-;_-* &quot;-&quot;??_р_._-;_-@_-"/>
    <numFmt numFmtId="170" formatCode="0.000"/>
    <numFmt numFmtId="171" formatCode="0.0"/>
  </numFmts>
  <fonts count="181">
    <font>
      <sz val="10"/>
      <name val="Arial Cyr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Arial Cyr"/>
      <family val="0"/>
    </font>
    <font>
      <b/>
      <i/>
      <sz val="11"/>
      <name val="Times New Roman"/>
      <family val="1"/>
    </font>
    <font>
      <b/>
      <i/>
      <sz val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color indexed="8"/>
      <name val="Times New Roman"/>
      <family val="1"/>
    </font>
    <font>
      <b/>
      <sz val="9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Arial Cyr"/>
      <family val="0"/>
    </font>
    <font>
      <b/>
      <sz val="12"/>
      <name val="Calibri"/>
      <family val="2"/>
    </font>
    <font>
      <sz val="9"/>
      <color indexed="13"/>
      <name val="Arial Cyr"/>
      <family val="0"/>
    </font>
    <font>
      <b/>
      <sz val="12"/>
      <color indexed="13"/>
      <name val="Calibri"/>
      <family val="2"/>
    </font>
    <font>
      <b/>
      <sz val="18"/>
      <color indexed="11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3"/>
      <name val="Calibri"/>
      <family val="2"/>
    </font>
    <font>
      <sz val="11"/>
      <color indexed="9"/>
      <name val="Calibri"/>
      <family val="2"/>
    </font>
    <font>
      <b/>
      <sz val="9"/>
      <color indexed="10"/>
      <name val="Arial Cyr"/>
      <family val="0"/>
    </font>
    <font>
      <b/>
      <sz val="13"/>
      <color indexed="13"/>
      <name val="Times New Roman"/>
      <family val="1"/>
    </font>
    <font>
      <b/>
      <sz val="10"/>
      <color indexed="13"/>
      <name val="Calibri"/>
      <family val="2"/>
    </font>
    <font>
      <sz val="10"/>
      <color indexed="9"/>
      <name val="Calibri"/>
      <family val="2"/>
    </font>
    <font>
      <b/>
      <i/>
      <sz val="10"/>
      <color indexed="13"/>
      <name val="Times New Roman"/>
      <family val="1"/>
    </font>
    <font>
      <b/>
      <sz val="11"/>
      <color indexed="13"/>
      <name val="Times New Roman"/>
      <family val="1"/>
    </font>
    <font>
      <b/>
      <sz val="9"/>
      <color indexed="13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2"/>
      <color indexed="13"/>
      <name val="Arial Cyr"/>
      <family val="0"/>
    </font>
    <font>
      <sz val="10"/>
      <name val="Calibri"/>
      <family val="2"/>
    </font>
    <font>
      <b/>
      <sz val="11"/>
      <name val="Calibri"/>
      <family val="2"/>
    </font>
    <font>
      <b/>
      <sz val="9"/>
      <color indexed="13"/>
      <name val="Arial Cyr"/>
      <family val="0"/>
    </font>
    <font>
      <sz val="12"/>
      <color indexed="13"/>
      <name val="Times New Roman"/>
      <family val="1"/>
    </font>
    <font>
      <b/>
      <sz val="18"/>
      <color indexed="48"/>
      <name val="Times New Roman"/>
      <family val="1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4"/>
      <color indexed="13"/>
      <name val="Times New Roman"/>
      <family val="1"/>
    </font>
    <font>
      <b/>
      <sz val="9"/>
      <name val="Calibri"/>
      <family val="2"/>
    </font>
    <font>
      <b/>
      <i/>
      <sz val="8"/>
      <color indexed="13"/>
      <name val="Times New Roman"/>
      <family val="1"/>
    </font>
    <font>
      <b/>
      <i/>
      <sz val="11"/>
      <color indexed="13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 Cyr"/>
      <family val="0"/>
    </font>
    <font>
      <sz val="12"/>
      <name val="Calibri"/>
      <family val="2"/>
    </font>
    <font>
      <sz val="10"/>
      <color indexed="10"/>
      <name val="Arial Cyr"/>
      <family val="0"/>
    </font>
    <font>
      <sz val="10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i/>
      <sz val="12"/>
      <name val="Calibri"/>
      <family val="2"/>
    </font>
    <font>
      <b/>
      <i/>
      <sz val="9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9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55"/>
      <name val="Times New Roman"/>
      <family val="1"/>
    </font>
    <font>
      <b/>
      <sz val="8"/>
      <color indexed="13"/>
      <name val="Arial Cyr"/>
      <family val="0"/>
    </font>
    <font>
      <b/>
      <sz val="16"/>
      <color indexed="13"/>
      <name val="Arial Cyr"/>
      <family val="0"/>
    </font>
    <font>
      <b/>
      <i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color indexed="13"/>
      <name val="Times New Roman"/>
      <family val="1"/>
    </font>
    <font>
      <b/>
      <sz val="11"/>
      <color indexed="30"/>
      <name val="Times New Roman"/>
      <family val="1"/>
    </font>
    <font>
      <b/>
      <sz val="14"/>
      <color indexed="30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rgb="FFFFFF00"/>
      <name val="Arial Cyr"/>
      <family val="0"/>
    </font>
    <font>
      <sz val="9"/>
      <color rgb="FFFFFF00"/>
      <name val="Arial Cyr"/>
      <family val="0"/>
    </font>
    <font>
      <b/>
      <sz val="12"/>
      <color rgb="FFFFFF00"/>
      <name val="Calibri"/>
      <family val="2"/>
    </font>
    <font>
      <sz val="12"/>
      <color theme="1"/>
      <name val="Times New Roman"/>
      <family val="1"/>
    </font>
    <font>
      <b/>
      <sz val="18"/>
      <color rgb="FF29FF8A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FF00"/>
      <name val="Calibri"/>
      <family val="2"/>
    </font>
    <font>
      <sz val="11"/>
      <color theme="0"/>
      <name val="Calibri"/>
      <family val="2"/>
    </font>
    <font>
      <b/>
      <sz val="9"/>
      <color rgb="FFFF0000"/>
      <name val="Arial Cyr"/>
      <family val="0"/>
    </font>
    <font>
      <b/>
      <sz val="12"/>
      <color theme="1"/>
      <name val="Times New Roman"/>
      <family val="1"/>
    </font>
    <font>
      <b/>
      <sz val="13"/>
      <color rgb="FFFFFF00"/>
      <name val="Times New Roman"/>
      <family val="1"/>
    </font>
    <font>
      <b/>
      <sz val="10"/>
      <color rgb="FFFFFF00"/>
      <name val="Calibri"/>
      <family val="2"/>
    </font>
    <font>
      <sz val="10"/>
      <color theme="0"/>
      <name val="Calibri"/>
      <family val="2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0"/>
      <color rgb="FFFFFF00"/>
      <name val="Times New Roman"/>
      <family val="1"/>
    </font>
    <font>
      <b/>
      <sz val="11"/>
      <color rgb="FFFFFF00"/>
      <name val="Times New Roman"/>
      <family val="1"/>
    </font>
    <font>
      <b/>
      <sz val="9"/>
      <color rgb="FFFFFF00"/>
      <name val="Calibri"/>
      <family val="2"/>
    </font>
    <font>
      <b/>
      <sz val="9"/>
      <color rgb="FFFFFF00"/>
      <name val="Arial Cyr"/>
      <family val="0"/>
    </font>
    <font>
      <sz val="11"/>
      <color theme="1"/>
      <name val="Times New Roman"/>
      <family val="1"/>
    </font>
    <font>
      <sz val="12"/>
      <color rgb="FFFFFF00"/>
      <name val="Times New Roman"/>
      <family val="1"/>
    </font>
    <font>
      <b/>
      <sz val="18"/>
      <color rgb="FF3366FF"/>
      <name val="Times New Roman"/>
      <family val="1"/>
    </font>
    <font>
      <b/>
      <sz val="11"/>
      <color rgb="FFFF0000"/>
      <name val="Calibri"/>
      <family val="2"/>
    </font>
    <font>
      <b/>
      <sz val="14"/>
      <color rgb="FFFFFF00"/>
      <name val="Times New Roman"/>
      <family val="1"/>
    </font>
    <font>
      <b/>
      <i/>
      <sz val="12"/>
      <color theme="1"/>
      <name val="Times New Roman"/>
      <family val="1"/>
    </font>
    <font>
      <b/>
      <i/>
      <sz val="8"/>
      <color rgb="FFFFFF00"/>
      <name val="Times New Roman"/>
      <family val="1"/>
    </font>
    <font>
      <b/>
      <i/>
      <sz val="11"/>
      <color rgb="FFFFFF00"/>
      <name val="Times New Roman"/>
      <family val="1"/>
    </font>
    <font>
      <sz val="9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10"/>
      <color theme="1"/>
      <name val="Calibri"/>
      <family val="2"/>
    </font>
    <font>
      <b/>
      <i/>
      <sz val="11"/>
      <color theme="1"/>
      <name val="Times New Roman"/>
      <family val="1"/>
    </font>
    <font>
      <b/>
      <i/>
      <sz val="10"/>
      <color theme="1"/>
      <name val="Calibri"/>
      <family val="2"/>
    </font>
    <font>
      <b/>
      <i/>
      <sz val="9"/>
      <color rgb="FFFF0000"/>
      <name val="Arial Cyr"/>
      <family val="0"/>
    </font>
    <font>
      <b/>
      <i/>
      <sz val="10"/>
      <color rgb="FFFF0000"/>
      <name val="Arial Cyr"/>
      <family val="0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0" tint="-0.24997000396251678"/>
      <name val="Times New Roman"/>
      <family val="1"/>
    </font>
    <font>
      <b/>
      <sz val="8"/>
      <color rgb="FFFFFF00"/>
      <name val="Arial Cyr"/>
      <family val="0"/>
    </font>
    <font>
      <b/>
      <sz val="16"/>
      <color rgb="FFFFFF00"/>
      <name val="Arial Cyr"/>
      <family val="0"/>
    </font>
    <font>
      <b/>
      <i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9"/>
      <color rgb="FFFFFF00"/>
      <name val="Times New Roman"/>
      <family val="1"/>
    </font>
    <font>
      <b/>
      <sz val="11"/>
      <color rgb="FF0070C0"/>
      <name val="Times New Roman"/>
      <family val="1"/>
    </font>
    <font>
      <b/>
      <sz val="14"/>
      <color rgb="FF0070C0"/>
      <name val="Times New Roman"/>
      <family val="1"/>
    </font>
    <font>
      <sz val="14"/>
      <color theme="0"/>
      <name val="Times New Roman"/>
      <family val="1"/>
    </font>
    <font>
      <sz val="9"/>
      <color theme="0"/>
      <name val="Calibri"/>
      <family val="2"/>
    </font>
    <font>
      <b/>
      <sz val="11"/>
      <color theme="0"/>
      <name val="Calibri"/>
      <family val="2"/>
    </font>
    <font>
      <b/>
      <sz val="12"/>
      <color rgb="FFFFFF00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8" fillId="26" borderId="1" applyNumberFormat="0" applyAlignment="0" applyProtection="0"/>
    <xf numFmtId="0" fontId="109" fillId="27" borderId="2" applyNumberFormat="0" applyAlignment="0" applyProtection="0"/>
    <xf numFmtId="0" fontId="110" fillId="27" borderId="1" applyNumberFormat="0" applyAlignment="0" applyProtection="0"/>
    <xf numFmtId="0" fontId="111" fillId="0" borderId="0" applyNumberFormat="0" applyFill="0" applyBorder="0" applyAlignment="0" applyProtection="0"/>
    <xf numFmtId="44" fontId="106" fillId="0" borderId="0" applyFont="0" applyFill="0" applyBorder="0" applyAlignment="0" applyProtection="0"/>
    <xf numFmtId="42" fontId="106" fillId="0" borderId="0" applyFont="0" applyFill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116" fillId="28" borderId="7" applyNumberFormat="0" applyAlignment="0" applyProtection="0"/>
    <xf numFmtId="0" fontId="117" fillId="0" borderId="0" applyNumberFormat="0" applyFill="0" applyBorder="0" applyAlignment="0" applyProtection="0"/>
    <xf numFmtId="0" fontId="118" fillId="29" borderId="0" applyNumberFormat="0" applyBorder="0" applyAlignment="0" applyProtection="0"/>
    <xf numFmtId="0" fontId="119" fillId="0" borderId="0" applyNumberFormat="0" applyFill="0" applyBorder="0" applyAlignment="0" applyProtection="0"/>
    <xf numFmtId="0" fontId="120" fillId="30" borderId="0" applyNumberFormat="0" applyBorder="0" applyAlignment="0" applyProtection="0"/>
    <xf numFmtId="0" fontId="121" fillId="0" borderId="0" applyNumberFormat="0" applyFill="0" applyBorder="0" applyAlignment="0" applyProtection="0"/>
    <xf numFmtId="0" fontId="106" fillId="31" borderId="8" applyNumberFormat="0" applyFont="0" applyAlignment="0" applyProtection="0"/>
    <xf numFmtId="9" fontId="106" fillId="0" borderId="0" applyFont="0" applyFill="0" applyBorder="0" applyAlignment="0" applyProtection="0"/>
    <xf numFmtId="0" fontId="122" fillId="0" borderId="9" applyNumberFormat="0" applyFill="0" applyAlignment="0" applyProtection="0"/>
    <xf numFmtId="0" fontId="12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4" fontId="106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24" fillId="32" borderId="0" applyNumberFormat="0" applyBorder="0" applyAlignment="0" applyProtection="0"/>
  </cellStyleXfs>
  <cellXfs count="1054">
    <xf numFmtId="0" fontId="0" fillId="0" borderId="0" xfId="0" applyAlignment="1">
      <alignment/>
    </xf>
    <xf numFmtId="1" fontId="125" fillId="33" borderId="0" xfId="0" applyNumberFormat="1" applyFont="1" applyFill="1" applyAlignment="1">
      <alignment/>
    </xf>
    <xf numFmtId="0" fontId="125" fillId="33" borderId="0" xfId="0" applyFont="1" applyFill="1" applyAlignment="1">
      <alignment horizontal="left"/>
    </xf>
    <xf numFmtId="0" fontId="126" fillId="33" borderId="0" xfId="0" applyFont="1" applyFill="1" applyAlignment="1">
      <alignment horizontal="left" vertical="center" wrapText="1"/>
    </xf>
    <xf numFmtId="0" fontId="125" fillId="33" borderId="0" xfId="0" applyFont="1" applyFill="1" applyAlignment="1">
      <alignment horizontal="center"/>
    </xf>
    <xf numFmtId="166" fontId="125" fillId="33" borderId="0" xfId="0" applyNumberFormat="1" applyFont="1" applyFill="1" applyAlignment="1">
      <alignment/>
    </xf>
    <xf numFmtId="2" fontId="125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2" fontId="127" fillId="33" borderId="0" xfId="0" applyNumberFormat="1" applyFont="1" applyFill="1" applyAlignment="1">
      <alignment/>
    </xf>
    <xf numFmtId="2" fontId="128" fillId="33" borderId="10" xfId="0" applyNumberFormat="1" applyFont="1" applyFill="1" applyBorder="1" applyAlignment="1">
      <alignment/>
    </xf>
    <xf numFmtId="0" fontId="129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167" fontId="0" fillId="33" borderId="12" xfId="60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167" fontId="49" fillId="33" borderId="12" xfId="62" applyFont="1" applyFill="1" applyBorder="1" applyAlignment="1">
      <alignment vertical="center"/>
    </xf>
    <xf numFmtId="0" fontId="130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167" fontId="0" fillId="33" borderId="0" xfId="60" applyFont="1" applyFill="1" applyBorder="1" applyAlignment="1">
      <alignment/>
    </xf>
    <xf numFmtId="0" fontId="2" fillId="33" borderId="0" xfId="0" applyFont="1" applyFill="1" applyAlignment="1">
      <alignment/>
    </xf>
    <xf numFmtId="2" fontId="128" fillId="33" borderId="15" xfId="0" applyNumberFormat="1" applyFont="1" applyFill="1" applyBorder="1" applyAlignment="1">
      <alignment/>
    </xf>
    <xf numFmtId="0" fontId="129" fillId="33" borderId="16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167" fontId="0" fillId="33" borderId="17" xfId="60" applyFont="1" applyFill="1" applyBorder="1" applyAlignment="1">
      <alignment vertical="center"/>
    </xf>
    <xf numFmtId="0" fontId="0" fillId="33" borderId="17" xfId="0" applyFill="1" applyBorder="1" applyAlignment="1">
      <alignment/>
    </xf>
    <xf numFmtId="167" fontId="49" fillId="33" borderId="17" xfId="62" applyFont="1" applyFill="1" applyBorder="1" applyAlignment="1">
      <alignment vertical="center"/>
    </xf>
    <xf numFmtId="0" fontId="130" fillId="33" borderId="15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2" fontId="131" fillId="33" borderId="15" xfId="0" applyNumberFormat="1" applyFont="1" applyFill="1" applyBorder="1" applyAlignment="1">
      <alignment/>
    </xf>
    <xf numFmtId="1" fontId="132" fillId="33" borderId="0" xfId="0" applyNumberFormat="1" applyFont="1" applyFill="1" applyAlignment="1">
      <alignment/>
    </xf>
    <xf numFmtId="0" fontId="132" fillId="33" borderId="0" xfId="0" applyFont="1" applyFill="1" applyAlignment="1">
      <alignment horizontal="left"/>
    </xf>
    <xf numFmtId="166" fontId="132" fillId="33" borderId="0" xfId="0" applyNumberFormat="1" applyFont="1" applyFill="1" applyAlignment="1">
      <alignment horizontal="left"/>
    </xf>
    <xf numFmtId="2" fontId="132" fillId="33" borderId="0" xfId="0" applyNumberFormat="1" applyFont="1" applyFill="1" applyAlignment="1">
      <alignment horizontal="left"/>
    </xf>
    <xf numFmtId="3" fontId="133" fillId="33" borderId="15" xfId="0" applyNumberFormat="1" applyFont="1" applyFill="1" applyBorder="1" applyAlignment="1">
      <alignment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/>
    </xf>
    <xf numFmtId="166" fontId="5" fillId="33" borderId="0" xfId="0" applyNumberFormat="1" applyFont="1" applyFill="1" applyAlignment="1">
      <alignment horizontal="left"/>
    </xf>
    <xf numFmtId="2" fontId="134" fillId="33" borderId="18" xfId="0" applyNumberFormat="1" applyFont="1" applyFill="1" applyBorder="1" applyAlignment="1">
      <alignment/>
    </xf>
    <xf numFmtId="0" fontId="6" fillId="33" borderId="0" xfId="0" applyFont="1" applyFill="1" applyAlignment="1">
      <alignment horizontal="left" vertical="center" wrapText="1"/>
    </xf>
    <xf numFmtId="2" fontId="5" fillId="33" borderId="0" xfId="0" applyNumberFormat="1" applyFont="1" applyFill="1" applyAlignment="1">
      <alignment horizontal="left"/>
    </xf>
    <xf numFmtId="0" fontId="132" fillId="33" borderId="0" xfId="0" applyFont="1" applyFill="1" applyAlignment="1">
      <alignment horizontal="center"/>
    </xf>
    <xf numFmtId="166" fontId="135" fillId="33" borderId="0" xfId="0" applyNumberFormat="1" applyFont="1" applyFill="1" applyAlignment="1">
      <alignment horizontal="center"/>
    </xf>
    <xf numFmtId="0" fontId="136" fillId="33" borderId="16" xfId="0" applyFont="1" applyFill="1" applyBorder="1" applyAlignment="1">
      <alignment vertical="center"/>
    </xf>
    <xf numFmtId="0" fontId="137" fillId="33" borderId="17" xfId="0" applyFont="1" applyFill="1" applyBorder="1" applyAlignment="1">
      <alignment vertical="center"/>
    </xf>
    <xf numFmtId="167" fontId="137" fillId="33" borderId="17" xfId="60" applyFont="1" applyFill="1" applyBorder="1" applyAlignment="1">
      <alignment vertical="center"/>
    </xf>
    <xf numFmtId="0" fontId="138" fillId="33" borderId="15" xfId="0" applyFont="1" applyFill="1" applyBorder="1" applyAlignment="1">
      <alignment vertical="center"/>
    </xf>
    <xf numFmtId="0" fontId="139" fillId="33" borderId="0" xfId="0" applyFont="1" applyFill="1" applyAlignment="1">
      <alignment horizontal="center"/>
    </xf>
    <xf numFmtId="0" fontId="140" fillId="33" borderId="18" xfId="0" applyFont="1" applyFill="1" applyBorder="1" applyAlignment="1">
      <alignment horizontal="center"/>
    </xf>
    <xf numFmtId="0" fontId="141" fillId="33" borderId="16" xfId="0" applyFont="1" applyFill="1" applyBorder="1" applyAlignment="1">
      <alignment vertical="center"/>
    </xf>
    <xf numFmtId="0" fontId="142" fillId="33" borderId="17" xfId="0" applyFont="1" applyFill="1" applyBorder="1" applyAlignment="1">
      <alignment vertical="center"/>
    </xf>
    <xf numFmtId="0" fontId="139" fillId="33" borderId="0" xfId="0" applyFont="1" applyFill="1" applyAlignment="1">
      <alignment horizontal="center" vertical="center" wrapText="1"/>
    </xf>
    <xf numFmtId="0" fontId="140" fillId="33" borderId="18" xfId="0" applyFont="1" applyFill="1" applyBorder="1" applyAlignment="1">
      <alignment horizontal="center" vertical="center" wrapText="1"/>
    </xf>
    <xf numFmtId="4" fontId="130" fillId="33" borderId="15" xfId="0" applyNumberFormat="1" applyFont="1" applyFill="1" applyBorder="1" applyAlignment="1">
      <alignment vertical="center"/>
    </xf>
    <xf numFmtId="1" fontId="139" fillId="33" borderId="0" xfId="0" applyNumberFormat="1" applyFont="1" applyFill="1" applyAlignment="1">
      <alignment horizontal="center" vertical="center" wrapText="1"/>
    </xf>
    <xf numFmtId="0" fontId="139" fillId="33" borderId="0" xfId="0" applyFont="1" applyFill="1" applyAlignment="1">
      <alignment horizontal="left" vertical="center" wrapText="1"/>
    </xf>
    <xf numFmtId="0" fontId="143" fillId="33" borderId="0" xfId="0" applyFont="1" applyFill="1" applyAlignment="1">
      <alignment horizontal="left" vertical="center" wrapText="1"/>
    </xf>
    <xf numFmtId="166" fontId="139" fillId="33" borderId="0" xfId="0" applyNumberFormat="1" applyFont="1" applyFill="1" applyAlignment="1">
      <alignment horizontal="center" vertical="center" wrapText="1"/>
    </xf>
    <xf numFmtId="2" fontId="144" fillId="33" borderId="0" xfId="0" applyNumberFormat="1" applyFont="1" applyFill="1" applyAlignment="1">
      <alignment horizontal="center" vertical="center" wrapText="1"/>
    </xf>
    <xf numFmtId="2" fontId="145" fillId="33" borderId="18" xfId="0" applyNumberFormat="1" applyFont="1" applyFill="1" applyBorder="1" applyAlignment="1">
      <alignment horizontal="center" vertical="center" wrapText="1"/>
    </xf>
    <xf numFmtId="0" fontId="141" fillId="33" borderId="16" xfId="0" applyFont="1" applyFill="1" applyBorder="1" applyAlignment="1">
      <alignment horizontal="right" vertical="center"/>
    </xf>
    <xf numFmtId="0" fontId="142" fillId="33" borderId="17" xfId="0" applyFont="1" applyFill="1" applyBorder="1" applyAlignment="1">
      <alignment horizontal="right" vertical="center"/>
    </xf>
    <xf numFmtId="2" fontId="132" fillId="33" borderId="15" xfId="0" applyNumberFormat="1" applyFont="1" applyFill="1" applyBorder="1" applyAlignment="1">
      <alignment horizontal="center" vertical="center" wrapText="1"/>
    </xf>
    <xf numFmtId="2" fontId="146" fillId="33" borderId="15" xfId="0" applyNumberFormat="1" applyFont="1" applyFill="1" applyBorder="1" applyAlignment="1">
      <alignment horizontal="center" vertical="center" wrapText="1"/>
    </xf>
    <xf numFmtId="4" fontId="147" fillId="33" borderId="16" xfId="0" applyNumberFormat="1" applyFont="1" applyFill="1" applyBorder="1" applyAlignment="1">
      <alignment horizontal="center" vertical="center"/>
    </xf>
    <xf numFmtId="3" fontId="64" fillId="33" borderId="17" xfId="0" applyNumberFormat="1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/>
    </xf>
    <xf numFmtId="167" fontId="65" fillId="33" borderId="17" xfId="6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center"/>
    </xf>
    <xf numFmtId="0" fontId="65" fillId="33" borderId="0" xfId="0" applyFont="1" applyFill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0" xfId="0" applyFill="1" applyAlignment="1">
      <alignment horizontal="center"/>
    </xf>
    <xf numFmtId="167" fontId="49" fillId="33" borderId="17" xfId="62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167" fontId="0" fillId="33" borderId="0" xfId="60" applyFont="1" applyFill="1" applyBorder="1" applyAlignment="1">
      <alignment horizontal="center"/>
    </xf>
    <xf numFmtId="2" fontId="132" fillId="33" borderId="19" xfId="0" applyNumberFormat="1" applyFont="1" applyFill="1" applyBorder="1" applyAlignment="1">
      <alignment horizontal="center" vertical="center" wrapText="1"/>
    </xf>
    <xf numFmtId="0" fontId="141" fillId="33" borderId="16" xfId="0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 wrapText="1"/>
    </xf>
    <xf numFmtId="0" fontId="148" fillId="33" borderId="13" xfId="0" applyFont="1" applyFill="1" applyBorder="1" applyAlignment="1">
      <alignment horizontal="center" vertical="center"/>
    </xf>
    <xf numFmtId="0" fontId="148" fillId="33" borderId="14" xfId="0" applyFont="1" applyFill="1" applyBorder="1" applyAlignment="1">
      <alignment horizontal="center" vertical="center"/>
    </xf>
    <xf numFmtId="0" fontId="148" fillId="33" borderId="10" xfId="0" applyFont="1" applyFill="1" applyBorder="1" applyAlignment="1">
      <alignment horizontal="center" vertical="center"/>
    </xf>
    <xf numFmtId="0" fontId="148" fillId="33" borderId="11" xfId="0" applyFont="1" applyFill="1" applyBorder="1" applyAlignment="1">
      <alignment horizontal="center" vertical="center"/>
    </xf>
    <xf numFmtId="1" fontId="132" fillId="33" borderId="20" xfId="0" applyNumberFormat="1" applyFont="1" applyFill="1" applyBorder="1" applyAlignment="1">
      <alignment horizontal="center"/>
    </xf>
    <xf numFmtId="0" fontId="132" fillId="33" borderId="21" xfId="0" applyFont="1" applyFill="1" applyBorder="1" applyAlignment="1">
      <alignment horizontal="center"/>
    </xf>
    <xf numFmtId="0" fontId="149" fillId="33" borderId="22" xfId="0" applyFont="1" applyFill="1" applyBorder="1" applyAlignment="1">
      <alignment horizontal="center" wrapText="1"/>
    </xf>
    <xf numFmtId="0" fontId="132" fillId="33" borderId="20" xfId="0" applyFont="1" applyFill="1" applyBorder="1" applyAlignment="1">
      <alignment horizontal="center"/>
    </xf>
    <xf numFmtId="3" fontId="132" fillId="33" borderId="23" xfId="0" applyNumberFormat="1" applyFont="1" applyFill="1" applyBorder="1" applyAlignment="1">
      <alignment horizontal="center"/>
    </xf>
    <xf numFmtId="3" fontId="132" fillId="33" borderId="20" xfId="0" applyNumberFormat="1" applyFont="1" applyFill="1" applyBorder="1" applyAlignment="1">
      <alignment horizontal="center"/>
    </xf>
    <xf numFmtId="3" fontId="132" fillId="33" borderId="15" xfId="0" applyNumberFormat="1" applyFont="1" applyFill="1" applyBorder="1" applyAlignment="1">
      <alignment horizontal="center"/>
    </xf>
    <xf numFmtId="3" fontId="146" fillId="33" borderId="15" xfId="0" applyNumberFormat="1" applyFont="1" applyFill="1" applyBorder="1" applyAlignment="1">
      <alignment horizontal="center"/>
    </xf>
    <xf numFmtId="0" fontId="141" fillId="33" borderId="16" xfId="0" applyFont="1" applyFill="1" applyBorder="1" applyAlignment="1">
      <alignment horizontal="center"/>
    </xf>
    <xf numFmtId="49" fontId="150" fillId="33" borderId="17" xfId="0" applyNumberFormat="1" applyFont="1" applyFill="1" applyBorder="1" applyAlignment="1">
      <alignment horizontal="center" vertical="center"/>
    </xf>
    <xf numFmtId="49" fontId="150" fillId="33" borderId="17" xfId="0" applyNumberFormat="1" applyFont="1" applyFill="1" applyBorder="1" applyAlignment="1">
      <alignment horizontal="center" vertical="center" wrapText="1"/>
    </xf>
    <xf numFmtId="167" fontId="150" fillId="33" borderId="17" xfId="60" applyFont="1" applyFill="1" applyBorder="1" applyAlignment="1">
      <alignment horizontal="center" vertical="center"/>
    </xf>
    <xf numFmtId="49" fontId="150" fillId="33" borderId="17" xfId="0" applyNumberFormat="1" applyFont="1" applyFill="1" applyBorder="1" applyAlignment="1">
      <alignment horizontal="center"/>
    </xf>
    <xf numFmtId="49" fontId="150" fillId="33" borderId="0" xfId="0" applyNumberFormat="1" applyFont="1" applyFill="1" applyAlignment="1">
      <alignment horizontal="center"/>
    </xf>
    <xf numFmtId="49" fontId="150" fillId="33" borderId="17" xfId="62" applyNumberFormat="1" applyFont="1" applyFill="1" applyBorder="1" applyAlignment="1">
      <alignment horizontal="center"/>
    </xf>
    <xf numFmtId="4" fontId="148" fillId="33" borderId="24" xfId="0" applyNumberFormat="1" applyFont="1" applyFill="1" applyBorder="1" applyAlignment="1">
      <alignment horizontal="center"/>
    </xf>
    <xf numFmtId="4" fontId="148" fillId="33" borderId="25" xfId="0" applyNumberFormat="1" applyFont="1" applyFill="1" applyBorder="1" applyAlignment="1">
      <alignment horizontal="center"/>
    </xf>
    <xf numFmtId="4" fontId="148" fillId="33" borderId="19" xfId="0" applyNumberFormat="1" applyFont="1" applyFill="1" applyBorder="1" applyAlignment="1">
      <alignment horizontal="center"/>
    </xf>
    <xf numFmtId="4" fontId="148" fillId="33" borderId="26" xfId="0" applyNumberFormat="1" applyFont="1" applyFill="1" applyBorder="1" applyAlignment="1">
      <alignment horizontal="center"/>
    </xf>
    <xf numFmtId="4" fontId="4" fillId="33" borderId="0" xfId="0" applyNumberFormat="1" applyFont="1" applyFill="1" applyAlignment="1">
      <alignment horizontal="center"/>
    </xf>
    <xf numFmtId="1" fontId="139" fillId="2" borderId="19" xfId="0" applyNumberFormat="1" applyFont="1" applyFill="1" applyBorder="1" applyAlignment="1">
      <alignment horizontal="center"/>
    </xf>
    <xf numFmtId="0" fontId="139" fillId="2" borderId="25" xfId="0" applyFont="1" applyFill="1" applyBorder="1" applyAlignment="1">
      <alignment horizontal="center" vertical="center"/>
    </xf>
    <xf numFmtId="166" fontId="139" fillId="2" borderId="20" xfId="0" applyNumberFormat="1" applyFont="1" applyFill="1" applyBorder="1" applyAlignment="1">
      <alignment horizontal="center" vertical="center"/>
    </xf>
    <xf numFmtId="4" fontId="139" fillId="2" borderId="24" xfId="0" applyNumberFormat="1" applyFont="1" applyFill="1" applyBorder="1" applyAlignment="1">
      <alignment horizontal="center" vertical="center" wrapText="1"/>
    </xf>
    <xf numFmtId="4" fontId="139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/>
    </xf>
    <xf numFmtId="4" fontId="147" fillId="2" borderId="16" xfId="0" applyNumberFormat="1" applyFont="1" applyFill="1" applyBorder="1" applyAlignment="1">
      <alignment horizontal="center" vertical="center"/>
    </xf>
    <xf numFmtId="0" fontId="65" fillId="2" borderId="17" xfId="0" applyFont="1" applyFill="1" applyBorder="1" applyAlignment="1">
      <alignment vertical="center"/>
    </xf>
    <xf numFmtId="0" fontId="68" fillId="2" borderId="17" xfId="0" applyFont="1" applyFill="1" applyBorder="1" applyAlignment="1">
      <alignment vertical="center"/>
    </xf>
    <xf numFmtId="0" fontId="67" fillId="2" borderId="17" xfId="0" applyFont="1" applyFill="1" applyBorder="1" applyAlignment="1">
      <alignment vertical="center"/>
    </xf>
    <xf numFmtId="167" fontId="67" fillId="2" borderId="17" xfId="60" applyFont="1" applyFill="1" applyBorder="1" applyAlignment="1">
      <alignment vertical="center"/>
    </xf>
    <xf numFmtId="0" fontId="67" fillId="2" borderId="17" xfId="0" applyFont="1" applyFill="1" applyBorder="1" applyAlignment="1">
      <alignment/>
    </xf>
    <xf numFmtId="0" fontId="67" fillId="2" borderId="0" xfId="0" applyFont="1" applyFill="1" applyAlignment="1">
      <alignment/>
    </xf>
    <xf numFmtId="0" fontId="65" fillId="2" borderId="17" xfId="0" applyFont="1" applyFill="1" applyBorder="1" applyAlignment="1">
      <alignment/>
    </xf>
    <xf numFmtId="0" fontId="65" fillId="2" borderId="0" xfId="0" applyFont="1" applyFill="1" applyAlignment="1">
      <alignment/>
    </xf>
    <xf numFmtId="0" fontId="0" fillId="2" borderId="17" xfId="0" applyFill="1" applyBorder="1" applyAlignment="1">
      <alignment/>
    </xf>
    <xf numFmtId="167" fontId="49" fillId="2" borderId="17" xfId="62" applyFont="1" applyFill="1" applyBorder="1" applyAlignment="1">
      <alignment vertical="center"/>
    </xf>
    <xf numFmtId="0" fontId="130" fillId="2" borderId="15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4" fillId="2" borderId="0" xfId="0" applyFont="1" applyFill="1" applyAlignment="1">
      <alignment/>
    </xf>
    <xf numFmtId="167" fontId="0" fillId="2" borderId="0" xfId="60" applyFont="1" applyFill="1" applyBorder="1" applyAlignment="1">
      <alignment/>
    </xf>
    <xf numFmtId="1" fontId="139" fillId="2" borderId="20" xfId="0" applyNumberFormat="1" applyFont="1" applyFill="1" applyBorder="1" applyAlignment="1">
      <alignment horizontal="center" vertical="center" wrapText="1"/>
    </xf>
    <xf numFmtId="0" fontId="139" fillId="2" borderId="11" xfId="0" applyFont="1" applyFill="1" applyBorder="1" applyAlignment="1">
      <alignment horizontal="left" vertical="center" wrapText="1"/>
    </xf>
    <xf numFmtId="0" fontId="149" fillId="2" borderId="13" xfId="0" applyFont="1" applyFill="1" applyBorder="1" applyAlignment="1">
      <alignment horizontal="left" vertical="center" wrapText="1"/>
    </xf>
    <xf numFmtId="0" fontId="139" fillId="2" borderId="14" xfId="0" applyFont="1" applyFill="1" applyBorder="1" applyAlignment="1">
      <alignment horizontal="center" vertical="center" wrapText="1"/>
    </xf>
    <xf numFmtId="166" fontId="139" fillId="2" borderId="11" xfId="0" applyNumberFormat="1" applyFont="1" applyFill="1" applyBorder="1" applyAlignment="1">
      <alignment horizontal="center" vertical="center" wrapText="1" shrinkToFit="1"/>
    </xf>
    <xf numFmtId="4" fontId="139" fillId="2" borderId="10" xfId="0" applyNumberFormat="1" applyFont="1" applyFill="1" applyBorder="1" applyAlignment="1">
      <alignment horizontal="center" vertical="center" wrapText="1" shrinkToFit="1"/>
    </xf>
    <xf numFmtId="4" fontId="139" fillId="2" borderId="15" xfId="0" applyNumberFormat="1" applyFont="1" applyFill="1" applyBorder="1" applyAlignment="1">
      <alignment horizontal="center" vertical="center" wrapText="1" shrinkToFit="1"/>
    </xf>
    <xf numFmtId="168" fontId="151" fillId="2" borderId="15" xfId="0" applyNumberFormat="1" applyFont="1" applyFill="1" applyBorder="1" applyAlignment="1">
      <alignment/>
    </xf>
    <xf numFmtId="4" fontId="141" fillId="2" borderId="16" xfId="0" applyNumberFormat="1" applyFont="1" applyFill="1" applyBorder="1" applyAlignment="1">
      <alignment vertical="center"/>
    </xf>
    <xf numFmtId="4" fontId="72" fillId="2" borderId="17" xfId="0" applyNumberFormat="1" applyFont="1" applyFill="1" applyBorder="1" applyAlignment="1">
      <alignment vertical="center"/>
    </xf>
    <xf numFmtId="4" fontId="9" fillId="2" borderId="17" xfId="0" applyNumberFormat="1" applyFont="1" applyFill="1" applyBorder="1" applyAlignment="1">
      <alignment horizontal="center" vertical="center" wrapText="1" shrinkToFit="1"/>
    </xf>
    <xf numFmtId="4" fontId="67" fillId="2" borderId="17" xfId="0" applyNumberFormat="1" applyFont="1" applyFill="1" applyBorder="1" applyAlignment="1">
      <alignment vertical="center"/>
    </xf>
    <xf numFmtId="4" fontId="67" fillId="2" borderId="17" xfId="0" applyNumberFormat="1" applyFont="1" applyFill="1" applyBorder="1" applyAlignment="1">
      <alignment/>
    </xf>
    <xf numFmtId="4" fontId="130" fillId="2" borderId="15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horizontal="center" vertical="center"/>
    </xf>
    <xf numFmtId="1" fontId="139" fillId="2" borderId="27" xfId="0" applyNumberFormat="1" applyFont="1" applyFill="1" applyBorder="1" applyAlignment="1">
      <alignment horizontal="center" vertical="center" wrapText="1"/>
    </xf>
    <xf numFmtId="0" fontId="139" fillId="2" borderId="27" xfId="0" applyFont="1" applyFill="1" applyBorder="1" applyAlignment="1">
      <alignment horizontal="left" vertical="center" wrapText="1"/>
    </xf>
    <xf numFmtId="0" fontId="149" fillId="2" borderId="28" xfId="0" applyFont="1" applyFill="1" applyBorder="1" applyAlignment="1">
      <alignment horizontal="left" vertical="center" wrapText="1"/>
    </xf>
    <xf numFmtId="0" fontId="139" fillId="2" borderId="29" xfId="0" applyFont="1" applyFill="1" applyBorder="1" applyAlignment="1">
      <alignment horizontal="center" vertical="center" wrapText="1"/>
    </xf>
    <xf numFmtId="3" fontId="139" fillId="2" borderId="28" xfId="0" applyNumberFormat="1" applyFont="1" applyFill="1" applyBorder="1" applyAlignment="1">
      <alignment horizontal="center" vertical="center" wrapText="1" shrinkToFit="1"/>
    </xf>
    <xf numFmtId="4" fontId="139" fillId="2" borderId="29" xfId="0" applyNumberFormat="1" applyFont="1" applyFill="1" applyBorder="1" applyAlignment="1">
      <alignment horizontal="center" vertical="center" wrapText="1" shrinkToFit="1"/>
    </xf>
    <xf numFmtId="168" fontId="128" fillId="2" borderId="15" xfId="0" applyNumberFormat="1" applyFont="1" applyFill="1" applyBorder="1" applyAlignment="1">
      <alignment/>
    </xf>
    <xf numFmtId="4" fontId="152" fillId="2" borderId="22" xfId="0" applyNumberFormat="1" applyFont="1" applyFill="1" applyBorder="1" applyAlignment="1">
      <alignment vertical="center"/>
    </xf>
    <xf numFmtId="4" fontId="4" fillId="2" borderId="0" xfId="0" applyNumberFormat="1" applyFont="1" applyFill="1" applyAlignment="1">
      <alignment/>
    </xf>
    <xf numFmtId="1" fontId="139" fillId="2" borderId="30" xfId="0" applyNumberFormat="1" applyFont="1" applyFill="1" applyBorder="1" applyAlignment="1">
      <alignment horizontal="center" vertical="center" wrapText="1"/>
    </xf>
    <xf numFmtId="0" fontId="139" fillId="2" borderId="31" xfId="0" applyFont="1" applyFill="1" applyBorder="1" applyAlignment="1">
      <alignment horizontal="center" vertical="center" wrapText="1"/>
    </xf>
    <xf numFmtId="166" fontId="139" fillId="2" borderId="32" xfId="0" applyNumberFormat="1" applyFont="1" applyFill="1" applyBorder="1" applyAlignment="1">
      <alignment horizontal="center" vertical="center" wrapText="1" shrinkToFit="1"/>
    </xf>
    <xf numFmtId="4" fontId="139" fillId="2" borderId="31" xfId="0" applyNumberFormat="1" applyFont="1" applyFill="1" applyBorder="1" applyAlignment="1">
      <alignment horizontal="center" vertical="center" wrapText="1" shrinkToFit="1"/>
    </xf>
    <xf numFmtId="4" fontId="153" fillId="2" borderId="15" xfId="0" applyNumberFormat="1" applyFont="1" applyFill="1" applyBorder="1" applyAlignment="1">
      <alignment horizontal="right"/>
    </xf>
    <xf numFmtId="4" fontId="147" fillId="2" borderId="16" xfId="0" applyNumberFormat="1" applyFont="1" applyFill="1" applyBorder="1" applyAlignment="1">
      <alignment vertical="center"/>
    </xf>
    <xf numFmtId="4" fontId="3" fillId="2" borderId="0" xfId="0" applyNumberFormat="1" applyFont="1" applyFill="1" applyAlignment="1">
      <alignment horizontal="center" vertical="center"/>
    </xf>
    <xf numFmtId="1" fontId="139" fillId="33" borderId="33" xfId="0" applyNumberFormat="1" applyFont="1" applyFill="1" applyBorder="1" applyAlignment="1">
      <alignment horizontal="center" vertical="center" wrapText="1"/>
    </xf>
    <xf numFmtId="0" fontId="139" fillId="33" borderId="34" xfId="0" applyFont="1" applyFill="1" applyBorder="1" applyAlignment="1">
      <alignment horizontal="center" vertical="center" wrapText="1"/>
    </xf>
    <xf numFmtId="166" fontId="139" fillId="33" borderId="35" xfId="0" applyNumberFormat="1" applyFont="1" applyFill="1" applyBorder="1" applyAlignment="1">
      <alignment horizontal="center" vertical="center" wrapText="1" shrinkToFit="1"/>
    </xf>
    <xf numFmtId="4" fontId="139" fillId="33" borderId="34" xfId="0" applyNumberFormat="1" applyFont="1" applyFill="1" applyBorder="1" applyAlignment="1">
      <alignment horizontal="center" vertical="center" wrapText="1" shrinkToFit="1"/>
    </xf>
    <xf numFmtId="4" fontId="139" fillId="33" borderId="15" xfId="0" applyNumberFormat="1" applyFont="1" applyFill="1" applyBorder="1" applyAlignment="1">
      <alignment horizontal="center" vertical="center" wrapText="1" shrinkToFit="1"/>
    </xf>
    <xf numFmtId="4" fontId="153" fillId="33" borderId="15" xfId="0" applyNumberFormat="1" applyFont="1" applyFill="1" applyBorder="1" applyAlignment="1">
      <alignment horizontal="right"/>
    </xf>
    <xf numFmtId="4" fontId="147" fillId="33" borderId="16" xfId="0" applyNumberFormat="1" applyFont="1" applyFill="1" applyBorder="1" applyAlignment="1">
      <alignment vertical="center"/>
    </xf>
    <xf numFmtId="4" fontId="64" fillId="33" borderId="17" xfId="0" applyNumberFormat="1" applyFont="1" applyFill="1" applyBorder="1" applyAlignment="1">
      <alignment vertical="center" wrapText="1"/>
    </xf>
    <xf numFmtId="4" fontId="9" fillId="33" borderId="17" xfId="0" applyNumberFormat="1" applyFont="1" applyFill="1" applyBorder="1" applyAlignment="1">
      <alignment horizontal="center" vertical="center" wrapText="1" shrinkToFit="1"/>
    </xf>
    <xf numFmtId="4" fontId="67" fillId="33" borderId="17" xfId="0" applyNumberFormat="1" applyFont="1" applyFill="1" applyBorder="1" applyAlignment="1">
      <alignment vertical="center"/>
    </xf>
    <xf numFmtId="167" fontId="67" fillId="33" borderId="17" xfId="60" applyFont="1" applyFill="1" applyBorder="1" applyAlignment="1">
      <alignment vertical="center"/>
    </xf>
    <xf numFmtId="4" fontId="67" fillId="33" borderId="17" xfId="0" applyNumberFormat="1" applyFont="1" applyFill="1" applyBorder="1" applyAlignment="1">
      <alignment/>
    </xf>
    <xf numFmtId="0" fontId="67" fillId="33" borderId="0" xfId="0" applyFont="1" applyFill="1" applyAlignment="1">
      <alignment/>
    </xf>
    <xf numFmtId="0" fontId="65" fillId="33" borderId="17" xfId="0" applyFont="1" applyFill="1" applyBorder="1" applyAlignment="1">
      <alignment/>
    </xf>
    <xf numFmtId="0" fontId="65" fillId="33" borderId="0" xfId="0" applyFont="1" applyFill="1" applyAlignment="1">
      <alignment/>
    </xf>
    <xf numFmtId="1" fontId="139" fillId="33" borderId="30" xfId="0" applyNumberFormat="1" applyFont="1" applyFill="1" applyBorder="1" applyAlignment="1">
      <alignment horizontal="center" vertical="center" wrapText="1"/>
    </xf>
    <xf numFmtId="0" fontId="139" fillId="33" borderId="31" xfId="0" applyFont="1" applyFill="1" applyBorder="1" applyAlignment="1">
      <alignment horizontal="center" vertical="center" wrapText="1"/>
    </xf>
    <xf numFmtId="166" fontId="139" fillId="33" borderId="32" xfId="0" applyNumberFormat="1" applyFont="1" applyFill="1" applyBorder="1" applyAlignment="1">
      <alignment horizontal="center" vertical="center" wrapText="1" shrinkToFit="1"/>
    </xf>
    <xf numFmtId="4" fontId="139" fillId="33" borderId="31" xfId="0" applyNumberFormat="1" applyFont="1" applyFill="1" applyBorder="1" applyAlignment="1">
      <alignment horizontal="center" vertical="center" wrapText="1" shrinkToFit="1"/>
    </xf>
    <xf numFmtId="4" fontId="72" fillId="33" borderId="17" xfId="0" applyNumberFormat="1" applyFont="1" applyFill="1" applyBorder="1" applyAlignment="1">
      <alignment vertical="center"/>
    </xf>
    <xf numFmtId="1" fontId="9" fillId="7" borderId="16" xfId="0" applyNumberFormat="1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166" fontId="5" fillId="7" borderId="0" xfId="0" applyNumberFormat="1" applyFont="1" applyFill="1" applyAlignment="1">
      <alignment horizontal="center" vertical="center" wrapText="1" shrinkToFit="1"/>
    </xf>
    <xf numFmtId="2" fontId="5" fillId="7" borderId="15" xfId="0" applyNumberFormat="1" applyFont="1" applyFill="1" applyBorder="1" applyAlignment="1">
      <alignment horizontal="center" vertical="center"/>
    </xf>
    <xf numFmtId="4" fontId="10" fillId="34" borderId="15" xfId="0" applyNumberFormat="1" applyFont="1" applyFill="1" applyBorder="1" applyAlignment="1">
      <alignment horizontal="right"/>
    </xf>
    <xf numFmtId="4" fontId="75" fillId="34" borderId="16" xfId="0" applyNumberFormat="1" applyFont="1" applyFill="1" applyBorder="1" applyAlignment="1">
      <alignment vertical="center"/>
    </xf>
    <xf numFmtId="4" fontId="72" fillId="34" borderId="17" xfId="0" applyNumberFormat="1" applyFont="1" applyFill="1" applyBorder="1" applyAlignment="1">
      <alignment vertical="center"/>
    </xf>
    <xf numFmtId="4" fontId="9" fillId="34" borderId="17" xfId="0" applyNumberFormat="1" applyFont="1" applyFill="1" applyBorder="1" applyAlignment="1">
      <alignment horizontal="center" vertical="center" wrapText="1" shrinkToFit="1"/>
    </xf>
    <xf numFmtId="4" fontId="67" fillId="34" borderId="17" xfId="0" applyNumberFormat="1" applyFont="1" applyFill="1" applyBorder="1" applyAlignment="1">
      <alignment vertical="center"/>
    </xf>
    <xf numFmtId="167" fontId="67" fillId="34" borderId="17" xfId="60" applyFont="1" applyFill="1" applyBorder="1" applyAlignment="1">
      <alignment vertical="center"/>
    </xf>
    <xf numFmtId="4" fontId="67" fillId="34" borderId="17" xfId="0" applyNumberFormat="1" applyFont="1" applyFill="1" applyBorder="1" applyAlignment="1">
      <alignment/>
    </xf>
    <xf numFmtId="0" fontId="67" fillId="34" borderId="0" xfId="0" applyFont="1" applyFill="1" applyAlignment="1">
      <alignment/>
    </xf>
    <xf numFmtId="0" fontId="65" fillId="34" borderId="17" xfId="0" applyFont="1" applyFill="1" applyBorder="1" applyAlignment="1">
      <alignment/>
    </xf>
    <xf numFmtId="0" fontId="65" fillId="34" borderId="0" xfId="0" applyFont="1" applyFill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Alignment="1">
      <alignment/>
    </xf>
    <xf numFmtId="167" fontId="49" fillId="34" borderId="17" xfId="62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4" fillId="34" borderId="0" xfId="0" applyFont="1" applyFill="1" applyAlignment="1">
      <alignment/>
    </xf>
    <xf numFmtId="167" fontId="0" fillId="34" borderId="0" xfId="60" applyFont="1" applyFill="1" applyBorder="1" applyAlignment="1">
      <alignment/>
    </xf>
    <xf numFmtId="0" fontId="5" fillId="7" borderId="0" xfId="0" applyFont="1" applyFill="1" applyAlignment="1">
      <alignment horizontal="left" vertical="center" wrapText="1"/>
    </xf>
    <xf numFmtId="4" fontId="5" fillId="7" borderId="15" xfId="0" applyNumberFormat="1" applyFont="1" applyFill="1" applyBorder="1" applyAlignment="1">
      <alignment horizontal="center" vertical="center" wrapText="1" shrinkToFit="1"/>
    </xf>
    <xf numFmtId="1" fontId="154" fillId="10" borderId="36" xfId="0" applyNumberFormat="1" applyFont="1" applyFill="1" applyBorder="1" applyAlignment="1">
      <alignment horizontal="center" vertical="center" wrapText="1"/>
    </xf>
    <xf numFmtId="0" fontId="154" fillId="10" borderId="37" xfId="0" applyFont="1" applyFill="1" applyBorder="1" applyAlignment="1">
      <alignment horizontal="left" vertical="center" wrapText="1"/>
    </xf>
    <xf numFmtId="0" fontId="149" fillId="10" borderId="37" xfId="0" applyFont="1" applyFill="1" applyBorder="1" applyAlignment="1">
      <alignment horizontal="left" vertical="center" wrapText="1"/>
    </xf>
    <xf numFmtId="0" fontId="139" fillId="10" borderId="37" xfId="0" applyFont="1" applyFill="1" applyBorder="1" applyAlignment="1">
      <alignment horizontal="center" vertical="center" wrapText="1"/>
    </xf>
    <xf numFmtId="166" fontId="154" fillId="10" borderId="37" xfId="0" applyNumberFormat="1" applyFont="1" applyFill="1" applyBorder="1" applyAlignment="1">
      <alignment horizontal="center" vertical="center" wrapText="1"/>
    </xf>
    <xf numFmtId="4" fontId="154" fillId="10" borderId="38" xfId="0" applyNumberFormat="1" applyFont="1" applyFill="1" applyBorder="1" applyAlignment="1">
      <alignment horizontal="center" vertical="center" wrapText="1"/>
    </xf>
    <xf numFmtId="4" fontId="154" fillId="10" borderId="13" xfId="0" applyNumberFormat="1" applyFont="1" applyFill="1" applyBorder="1" applyAlignment="1">
      <alignment horizontal="center" vertical="center" wrapText="1"/>
    </xf>
    <xf numFmtId="4" fontId="155" fillId="33" borderId="39" xfId="0" applyNumberFormat="1" applyFont="1" applyFill="1" applyBorder="1" applyAlignment="1">
      <alignment vertical="center" wrapText="1"/>
    </xf>
    <xf numFmtId="4" fontId="156" fillId="33" borderId="22" xfId="0" applyNumberFormat="1" applyFont="1" applyFill="1" applyBorder="1" applyAlignment="1">
      <alignment vertical="center" wrapText="1"/>
    </xf>
    <xf numFmtId="0" fontId="67" fillId="10" borderId="17" xfId="0" applyFont="1" applyFill="1" applyBorder="1" applyAlignment="1">
      <alignment vertical="center"/>
    </xf>
    <xf numFmtId="4" fontId="68" fillId="10" borderId="17" xfId="0" applyNumberFormat="1" applyFont="1" applyFill="1" applyBorder="1" applyAlignment="1">
      <alignment vertical="center"/>
    </xf>
    <xf numFmtId="4" fontId="67" fillId="10" borderId="17" xfId="0" applyNumberFormat="1" applyFont="1" applyFill="1" applyBorder="1" applyAlignment="1">
      <alignment vertical="center"/>
    </xf>
    <xf numFmtId="167" fontId="67" fillId="10" borderId="17" xfId="60" applyFont="1" applyFill="1" applyBorder="1" applyAlignment="1">
      <alignment vertical="center"/>
    </xf>
    <xf numFmtId="4" fontId="67" fillId="10" borderId="17" xfId="0" applyNumberFormat="1" applyFont="1" applyFill="1" applyBorder="1" applyAlignment="1">
      <alignment/>
    </xf>
    <xf numFmtId="0" fontId="67" fillId="10" borderId="0" xfId="0" applyFont="1" applyFill="1" applyAlignment="1">
      <alignment/>
    </xf>
    <xf numFmtId="0" fontId="65" fillId="10" borderId="17" xfId="0" applyFont="1" applyFill="1" applyBorder="1" applyAlignment="1">
      <alignment/>
    </xf>
    <xf numFmtId="0" fontId="65" fillId="10" borderId="0" xfId="0" applyFont="1" applyFill="1" applyAlignment="1">
      <alignment/>
    </xf>
    <xf numFmtId="0" fontId="0" fillId="10" borderId="17" xfId="0" applyFill="1" applyBorder="1" applyAlignment="1">
      <alignment/>
    </xf>
    <xf numFmtId="0" fontId="0" fillId="10" borderId="0" xfId="0" applyFill="1" applyAlignment="1">
      <alignment/>
    </xf>
    <xf numFmtId="167" fontId="49" fillId="10" borderId="17" xfId="62" applyFont="1" applyFill="1" applyBorder="1" applyAlignment="1">
      <alignment vertical="center"/>
    </xf>
    <xf numFmtId="4" fontId="157" fillId="10" borderId="39" xfId="0" applyNumberFormat="1" applyFont="1" applyFill="1" applyBorder="1" applyAlignment="1">
      <alignment horizontal="center" vertical="center"/>
    </xf>
    <xf numFmtId="4" fontId="157" fillId="10" borderId="23" xfId="0" applyNumberFormat="1" applyFont="1" applyFill="1" applyBorder="1" applyAlignment="1">
      <alignment horizontal="center" vertical="center"/>
    </xf>
    <xf numFmtId="4" fontId="157" fillId="10" borderId="20" xfId="0" applyNumberFormat="1" applyFont="1" applyFill="1" applyBorder="1" applyAlignment="1">
      <alignment horizontal="center" vertical="center"/>
    </xf>
    <xf numFmtId="4" fontId="157" fillId="10" borderId="22" xfId="0" applyNumberFormat="1" applyFont="1" applyFill="1" applyBorder="1" applyAlignment="1">
      <alignment horizontal="center" vertical="center"/>
    </xf>
    <xf numFmtId="0" fontId="158" fillId="10" borderId="0" xfId="0" applyFont="1" applyFill="1" applyAlignment="1">
      <alignment/>
    </xf>
    <xf numFmtId="167" fontId="0" fillId="10" borderId="0" xfId="60" applyFont="1" applyFill="1" applyBorder="1" applyAlignment="1">
      <alignment/>
    </xf>
    <xf numFmtId="0" fontId="154" fillId="33" borderId="40" xfId="0" applyFont="1" applyFill="1" applyBorder="1" applyAlignment="1">
      <alignment horizontal="left" vertical="center" wrapText="1"/>
    </xf>
    <xf numFmtId="0" fontId="149" fillId="33" borderId="40" xfId="0" applyFont="1" applyFill="1" applyBorder="1" applyAlignment="1">
      <alignment horizontal="left" vertical="center" wrapText="1"/>
    </xf>
    <xf numFmtId="0" fontId="139" fillId="33" borderId="40" xfId="0" applyFont="1" applyFill="1" applyBorder="1" applyAlignment="1">
      <alignment horizontal="center" vertical="center" wrapText="1"/>
    </xf>
    <xf numFmtId="166" fontId="154" fillId="33" borderId="40" xfId="0" applyNumberFormat="1" applyFont="1" applyFill="1" applyBorder="1" applyAlignment="1">
      <alignment horizontal="center" vertical="center" wrapText="1"/>
    </xf>
    <xf numFmtId="4" fontId="154" fillId="33" borderId="41" xfId="0" applyNumberFormat="1" applyFont="1" applyFill="1" applyBorder="1" applyAlignment="1">
      <alignment horizontal="center" vertical="center" wrapText="1"/>
    </xf>
    <xf numFmtId="4" fontId="154" fillId="33" borderId="15" xfId="0" applyNumberFormat="1" applyFont="1" applyFill="1" applyBorder="1" applyAlignment="1">
      <alignment horizontal="center" vertical="center" wrapText="1"/>
    </xf>
    <xf numFmtId="4" fontId="155" fillId="33" borderId="15" xfId="0" applyNumberFormat="1" applyFont="1" applyFill="1" applyBorder="1" applyAlignment="1">
      <alignment vertical="center" wrapText="1"/>
    </xf>
    <xf numFmtId="4" fontId="156" fillId="33" borderId="16" xfId="0" applyNumberFormat="1" applyFont="1" applyFill="1" applyBorder="1" applyAlignment="1">
      <alignment vertical="center" wrapText="1"/>
    </xf>
    <xf numFmtId="0" fontId="67" fillId="33" borderId="17" xfId="0" applyFont="1" applyFill="1" applyBorder="1" applyAlignment="1">
      <alignment vertical="center"/>
    </xf>
    <xf numFmtId="4" fontId="68" fillId="33" borderId="17" xfId="0" applyNumberFormat="1" applyFont="1" applyFill="1" applyBorder="1" applyAlignment="1">
      <alignment vertical="center"/>
    </xf>
    <xf numFmtId="4" fontId="157" fillId="33" borderId="15" xfId="0" applyNumberFormat="1" applyFont="1" applyFill="1" applyBorder="1" applyAlignment="1">
      <alignment horizontal="center" vertical="center"/>
    </xf>
    <xf numFmtId="4" fontId="157" fillId="33" borderId="0" xfId="0" applyNumberFormat="1" applyFont="1" applyFill="1" applyAlignment="1">
      <alignment horizontal="center" vertical="center"/>
    </xf>
    <xf numFmtId="4" fontId="157" fillId="33" borderId="18" xfId="0" applyNumberFormat="1" applyFont="1" applyFill="1" applyBorder="1" applyAlignment="1">
      <alignment horizontal="center" vertical="center"/>
    </xf>
    <xf numFmtId="4" fontId="157" fillId="33" borderId="16" xfId="0" applyNumberFormat="1" applyFont="1" applyFill="1" applyBorder="1" applyAlignment="1">
      <alignment horizontal="center" vertical="center"/>
    </xf>
    <xf numFmtId="0" fontId="158" fillId="33" borderId="0" xfId="0" applyFont="1" applyFill="1" applyAlignment="1">
      <alignment/>
    </xf>
    <xf numFmtId="0" fontId="132" fillId="33" borderId="40" xfId="0" applyFont="1" applyFill="1" applyBorder="1" applyAlignment="1">
      <alignment horizontal="left" vertical="center" wrapText="1"/>
    </xf>
    <xf numFmtId="0" fontId="8" fillId="33" borderId="40" xfId="0" applyFont="1" applyFill="1" applyBorder="1" applyAlignment="1">
      <alignment horizontal="left" vertical="center" wrapText="1"/>
    </xf>
    <xf numFmtId="0" fontId="132" fillId="33" borderId="40" xfId="0" applyFont="1" applyFill="1" applyBorder="1" applyAlignment="1">
      <alignment horizontal="center" vertical="center" wrapText="1"/>
    </xf>
    <xf numFmtId="166" fontId="132" fillId="33" borderId="40" xfId="0" applyNumberFormat="1" applyFont="1" applyFill="1" applyBorder="1" applyAlignment="1">
      <alignment horizontal="center" vertical="center" wrapText="1"/>
    </xf>
    <xf numFmtId="4" fontId="132" fillId="33" borderId="41" xfId="0" applyNumberFormat="1" applyFont="1" applyFill="1" applyBorder="1" applyAlignment="1">
      <alignment horizontal="center" vertical="center" wrapText="1"/>
    </xf>
    <xf numFmtId="49" fontId="132" fillId="33" borderId="41" xfId="0" applyNumberFormat="1" applyFont="1" applyFill="1" applyBorder="1" applyAlignment="1">
      <alignment horizontal="center" vertical="center" wrapText="1"/>
    </xf>
    <xf numFmtId="4" fontId="132" fillId="33" borderId="15" xfId="0" applyNumberFormat="1" applyFont="1" applyFill="1" applyBorder="1" applyAlignment="1">
      <alignment horizontal="center" vertical="center" wrapText="1"/>
    </xf>
    <xf numFmtId="4" fontId="134" fillId="33" borderId="15" xfId="0" applyNumberFormat="1" applyFont="1" applyFill="1" applyBorder="1" applyAlignment="1">
      <alignment horizontal="center" vertical="center"/>
    </xf>
    <xf numFmtId="4" fontId="136" fillId="33" borderId="16" xfId="0" applyNumberFormat="1" applyFont="1" applyFill="1" applyBorder="1" applyAlignment="1">
      <alignment vertical="center"/>
    </xf>
    <xf numFmtId="4" fontId="65" fillId="33" borderId="17" xfId="0" applyNumberFormat="1" applyFont="1" applyFill="1" applyBorder="1" applyAlignment="1">
      <alignment vertical="center"/>
    </xf>
    <xf numFmtId="167" fontId="80" fillId="33" borderId="17" xfId="62" applyFont="1" applyFill="1" applyBorder="1" applyAlignment="1">
      <alignment vertical="center"/>
    </xf>
    <xf numFmtId="4" fontId="159" fillId="33" borderId="0" xfId="0" applyNumberFormat="1" applyFont="1" applyFill="1" applyAlignment="1">
      <alignment/>
    </xf>
    <xf numFmtId="4" fontId="132" fillId="33" borderId="41" xfId="0" applyNumberFormat="1" applyFont="1" applyFill="1" applyBorder="1" applyAlignment="1">
      <alignment horizontal="center" vertical="center"/>
    </xf>
    <xf numFmtId="4" fontId="132" fillId="33" borderId="15" xfId="0" applyNumberFormat="1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vertical="center"/>
    </xf>
    <xf numFmtId="4" fontId="148" fillId="33" borderId="15" xfId="0" applyNumberFormat="1" applyFont="1" applyFill="1" applyBorder="1" applyAlignment="1">
      <alignment vertical="center"/>
    </xf>
    <xf numFmtId="0" fontId="148" fillId="33" borderId="0" xfId="0" applyFont="1" applyFill="1" applyAlignment="1">
      <alignment vertical="center"/>
    </xf>
    <xf numFmtId="0" fontId="148" fillId="33" borderId="18" xfId="0" applyFont="1" applyFill="1" applyBorder="1" applyAlignment="1">
      <alignment vertical="center"/>
    </xf>
    <xf numFmtId="0" fontId="148" fillId="33" borderId="16" xfId="0" applyFont="1" applyFill="1" applyBorder="1" applyAlignment="1">
      <alignment vertical="center"/>
    </xf>
    <xf numFmtId="0" fontId="6" fillId="33" borderId="42" xfId="0" applyFont="1" applyFill="1" applyBorder="1" applyAlignment="1">
      <alignment vertical="center" wrapText="1"/>
    </xf>
    <xf numFmtId="1" fontId="132" fillId="33" borderId="43" xfId="0" applyNumberFormat="1" applyFont="1" applyFill="1" applyBorder="1" applyAlignment="1">
      <alignment horizontal="center" vertical="center" wrapText="1"/>
    </xf>
    <xf numFmtId="0" fontId="148" fillId="33" borderId="15" xfId="0" applyFont="1" applyFill="1" applyBorder="1" applyAlignment="1">
      <alignment horizontal="center" vertical="center"/>
    </xf>
    <xf numFmtId="0" fontId="148" fillId="33" borderId="0" xfId="0" applyFont="1" applyFill="1" applyAlignment="1">
      <alignment horizontal="center" vertical="center"/>
    </xf>
    <xf numFmtId="0" fontId="148" fillId="33" borderId="18" xfId="0" applyFont="1" applyFill="1" applyBorder="1" applyAlignment="1">
      <alignment horizontal="center" vertical="center"/>
    </xf>
    <xf numFmtId="0" fontId="148" fillId="33" borderId="16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left" vertical="center" wrapText="1"/>
    </xf>
    <xf numFmtId="166" fontId="132" fillId="33" borderId="40" xfId="0" applyNumberFormat="1" applyFont="1" applyFill="1" applyBorder="1" applyAlignment="1">
      <alignment horizontal="center" vertical="center" wrapText="1" shrinkToFit="1"/>
    </xf>
    <xf numFmtId="4" fontId="148" fillId="33" borderId="15" xfId="0" applyNumberFormat="1" applyFont="1" applyFill="1" applyBorder="1" applyAlignment="1">
      <alignment horizontal="center" vertical="center"/>
    </xf>
    <xf numFmtId="4" fontId="148" fillId="33" borderId="0" xfId="0" applyNumberFormat="1" applyFont="1" applyFill="1" applyAlignment="1">
      <alignment horizontal="center" vertical="center"/>
    </xf>
    <xf numFmtId="4" fontId="148" fillId="33" borderId="18" xfId="0" applyNumberFormat="1" applyFont="1" applyFill="1" applyBorder="1" applyAlignment="1">
      <alignment horizontal="center" vertical="center"/>
    </xf>
    <xf numFmtId="4" fontId="148" fillId="33" borderId="16" xfId="0" applyNumberFormat="1" applyFont="1" applyFill="1" applyBorder="1" applyAlignment="1">
      <alignment horizontal="center" vertical="center"/>
    </xf>
    <xf numFmtId="166" fontId="132" fillId="33" borderId="40" xfId="0" applyNumberFormat="1" applyFont="1" applyFill="1" applyBorder="1" applyAlignment="1">
      <alignment horizontal="center" vertical="center"/>
    </xf>
    <xf numFmtId="0" fontId="160" fillId="33" borderId="17" xfId="0" applyFont="1" applyFill="1" applyBorder="1" applyAlignment="1">
      <alignment/>
    </xf>
    <xf numFmtId="0" fontId="157" fillId="33" borderId="15" xfId="0" applyFont="1" applyFill="1" applyBorder="1" applyAlignment="1">
      <alignment vertical="center"/>
    </xf>
    <xf numFmtId="0" fontId="157" fillId="33" borderId="0" xfId="0" applyFont="1" applyFill="1" applyAlignment="1">
      <alignment horizontal="center" vertical="center"/>
    </xf>
    <xf numFmtId="0" fontId="157" fillId="33" borderId="18" xfId="0" applyFont="1" applyFill="1" applyBorder="1" applyAlignment="1">
      <alignment horizontal="center" vertical="center"/>
    </xf>
    <xf numFmtId="0" fontId="157" fillId="33" borderId="0" xfId="0" applyFont="1" applyFill="1" applyAlignment="1">
      <alignment vertical="center"/>
    </xf>
    <xf numFmtId="0" fontId="157" fillId="33" borderId="16" xfId="0" applyFont="1" applyFill="1" applyBorder="1" applyAlignment="1">
      <alignment vertical="center"/>
    </xf>
    <xf numFmtId="0" fontId="157" fillId="33" borderId="18" xfId="0" applyFont="1" applyFill="1" applyBorder="1" applyAlignment="1">
      <alignment vertical="center"/>
    </xf>
    <xf numFmtId="0" fontId="67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160" fillId="33" borderId="17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1" fontId="5" fillId="33" borderId="43" xfId="0" applyNumberFormat="1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horizontal="center" vertical="center" wrapText="1"/>
    </xf>
    <xf numFmtId="166" fontId="5" fillId="33" borderId="40" xfId="0" applyNumberFormat="1" applyFont="1" applyFill="1" applyBorder="1" applyAlignment="1">
      <alignment horizontal="center" vertical="center" wrapText="1"/>
    </xf>
    <xf numFmtId="4" fontId="5" fillId="33" borderId="41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/>
    </xf>
    <xf numFmtId="0" fontId="5" fillId="33" borderId="40" xfId="0" applyFont="1" applyFill="1" applyBorder="1" applyAlignment="1">
      <alignment horizontal="left" vertical="center" wrapText="1"/>
    </xf>
    <xf numFmtId="1" fontId="5" fillId="7" borderId="43" xfId="0" applyNumberFormat="1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horizontal="left" vertical="center" wrapText="1"/>
    </xf>
    <xf numFmtId="0" fontId="6" fillId="7" borderId="40" xfId="0" applyFont="1" applyFill="1" applyBorder="1" applyAlignment="1">
      <alignment horizontal="left" vertical="center" wrapText="1"/>
    </xf>
    <xf numFmtId="0" fontId="5" fillId="7" borderId="40" xfId="0" applyFont="1" applyFill="1" applyBorder="1" applyAlignment="1">
      <alignment horizontal="center" vertical="center" wrapText="1"/>
    </xf>
    <xf numFmtId="166" fontId="5" fillId="7" borderId="40" xfId="0" applyNumberFormat="1" applyFont="1" applyFill="1" applyBorder="1" applyAlignment="1">
      <alignment horizontal="center" vertical="center" wrapText="1"/>
    </xf>
    <xf numFmtId="4" fontId="5" fillId="7" borderId="41" xfId="0" applyNumberFormat="1" applyFont="1" applyFill="1" applyBorder="1" applyAlignment="1">
      <alignment horizontal="center" vertical="center"/>
    </xf>
    <xf numFmtId="4" fontId="5" fillId="7" borderId="15" xfId="0" applyNumberFormat="1" applyFont="1" applyFill="1" applyBorder="1" applyAlignment="1">
      <alignment horizontal="center" vertical="center"/>
    </xf>
    <xf numFmtId="0" fontId="157" fillId="0" borderId="15" xfId="0" applyFont="1" applyBorder="1" applyAlignment="1">
      <alignment vertical="center"/>
    </xf>
    <xf numFmtId="0" fontId="157" fillId="0" borderId="0" xfId="0" applyFont="1" applyAlignment="1">
      <alignment horizontal="center" vertical="center"/>
    </xf>
    <xf numFmtId="0" fontId="157" fillId="0" borderId="18" xfId="0" applyFont="1" applyBorder="1" applyAlignment="1">
      <alignment horizontal="center" vertical="center"/>
    </xf>
    <xf numFmtId="0" fontId="157" fillId="0" borderId="0" xfId="0" applyFont="1" applyAlignment="1">
      <alignment vertical="center"/>
    </xf>
    <xf numFmtId="0" fontId="157" fillId="0" borderId="16" xfId="0" applyFont="1" applyBorder="1" applyAlignment="1">
      <alignment vertical="center"/>
    </xf>
    <xf numFmtId="0" fontId="157" fillId="0" borderId="18" xfId="0" applyFont="1" applyBorder="1" applyAlignment="1">
      <alignment vertical="center"/>
    </xf>
    <xf numFmtId="0" fontId="158" fillId="0" borderId="0" xfId="0" applyFont="1" applyAlignment="1">
      <alignment/>
    </xf>
    <xf numFmtId="167" fontId="0" fillId="0" borderId="0" xfId="60" applyFont="1" applyBorder="1" applyAlignment="1">
      <alignment/>
    </xf>
    <xf numFmtId="0" fontId="12" fillId="7" borderId="40" xfId="0" applyFont="1" applyFill="1" applyBorder="1" applyAlignment="1">
      <alignment horizontal="left" vertical="center" wrapText="1"/>
    </xf>
    <xf numFmtId="0" fontId="11" fillId="7" borderId="40" xfId="0" applyFont="1" applyFill="1" applyBorder="1" applyAlignment="1">
      <alignment horizontal="left" vertical="center" wrapText="1"/>
    </xf>
    <xf numFmtId="0" fontId="5" fillId="7" borderId="42" xfId="0" applyFont="1" applyFill="1" applyBorder="1" applyAlignment="1">
      <alignment vertical="center" wrapText="1"/>
    </xf>
    <xf numFmtId="0" fontId="149" fillId="7" borderId="40" xfId="0" applyFont="1" applyFill="1" applyBorder="1" applyAlignment="1">
      <alignment horizontal="left" vertical="center" wrapText="1"/>
    </xf>
    <xf numFmtId="0" fontId="132" fillId="7" borderId="40" xfId="0" applyFont="1" applyFill="1" applyBorder="1" applyAlignment="1">
      <alignment horizontal="center" vertical="center" wrapText="1"/>
    </xf>
    <xf numFmtId="166" fontId="132" fillId="7" borderId="40" xfId="0" applyNumberFormat="1" applyFont="1" applyFill="1" applyBorder="1" applyAlignment="1">
      <alignment horizontal="center" vertical="center" wrapText="1"/>
    </xf>
    <xf numFmtId="0" fontId="5" fillId="7" borderId="44" xfId="0" applyFont="1" applyFill="1" applyBorder="1" applyAlignment="1">
      <alignment vertical="center" wrapText="1"/>
    </xf>
    <xf numFmtId="4" fontId="13" fillId="7" borderId="41" xfId="0" applyNumberFormat="1" applyFont="1" applyFill="1" applyBorder="1" applyAlignment="1">
      <alignment horizontal="center" vertical="center"/>
    </xf>
    <xf numFmtId="4" fontId="13" fillId="7" borderId="15" xfId="0" applyNumberFormat="1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vertical="center" wrapText="1"/>
    </xf>
    <xf numFmtId="2" fontId="0" fillId="33" borderId="17" xfId="0" applyNumberFormat="1" applyFill="1" applyBorder="1" applyAlignment="1">
      <alignment/>
    </xf>
    <xf numFmtId="0" fontId="132" fillId="7" borderId="40" xfId="0" applyFont="1" applyFill="1" applyBorder="1" applyAlignment="1">
      <alignment horizontal="left" vertical="center" wrapText="1"/>
    </xf>
    <xf numFmtId="0" fontId="149" fillId="7" borderId="40" xfId="0" applyFont="1" applyFill="1" applyBorder="1" applyAlignment="1">
      <alignment vertical="center" wrapText="1"/>
    </xf>
    <xf numFmtId="166" fontId="132" fillId="7" borderId="40" xfId="0" applyNumberFormat="1" applyFont="1" applyFill="1" applyBorder="1" applyAlignment="1">
      <alignment horizontal="center" vertical="center"/>
    </xf>
    <xf numFmtId="4" fontId="132" fillId="7" borderId="41" xfId="0" applyNumberFormat="1" applyFont="1" applyFill="1" applyBorder="1" applyAlignment="1">
      <alignment horizontal="center" vertical="center"/>
    </xf>
    <xf numFmtId="4" fontId="132" fillId="7" borderId="15" xfId="0" applyNumberFormat="1" applyFont="1" applyFill="1" applyBorder="1" applyAlignment="1">
      <alignment horizontal="center" vertical="center"/>
    </xf>
    <xf numFmtId="1" fontId="5" fillId="7" borderId="45" xfId="0" applyNumberFormat="1" applyFont="1" applyFill="1" applyBorder="1" applyAlignment="1">
      <alignment horizontal="center" vertical="center" wrapText="1"/>
    </xf>
    <xf numFmtId="0" fontId="5" fillId="7" borderId="42" xfId="0" applyFont="1" applyFill="1" applyBorder="1" applyAlignment="1">
      <alignment horizontal="left" vertical="center" wrapText="1"/>
    </xf>
    <xf numFmtId="0" fontId="149" fillId="7" borderId="42" xfId="0" applyFont="1" applyFill="1" applyBorder="1" applyAlignment="1">
      <alignment vertical="center" wrapText="1"/>
    </xf>
    <xf numFmtId="0" fontId="132" fillId="7" borderId="42" xfId="0" applyFont="1" applyFill="1" applyBorder="1" applyAlignment="1">
      <alignment horizontal="center" vertical="center" wrapText="1"/>
    </xf>
    <xf numFmtId="166" fontId="132" fillId="7" borderId="42" xfId="0" applyNumberFormat="1" applyFont="1" applyFill="1" applyBorder="1" applyAlignment="1">
      <alignment horizontal="center" vertical="center"/>
    </xf>
    <xf numFmtId="4" fontId="132" fillId="7" borderId="46" xfId="0" applyNumberFormat="1" applyFont="1" applyFill="1" applyBorder="1" applyAlignment="1">
      <alignment horizontal="center" vertical="center"/>
    </xf>
    <xf numFmtId="1" fontId="154" fillId="10" borderId="47" xfId="0" applyNumberFormat="1" applyFont="1" applyFill="1" applyBorder="1" applyAlignment="1">
      <alignment horizontal="center" vertical="center" wrapText="1"/>
    </xf>
    <xf numFmtId="0" fontId="154" fillId="10" borderId="48" xfId="0" applyFont="1" applyFill="1" applyBorder="1" applyAlignment="1">
      <alignment horizontal="left" vertical="center" wrapText="1"/>
    </xf>
    <xf numFmtId="0" fontId="149" fillId="10" borderId="48" xfId="0" applyFont="1" applyFill="1" applyBorder="1" applyAlignment="1">
      <alignment horizontal="left" vertical="center" wrapText="1"/>
    </xf>
    <xf numFmtId="0" fontId="139" fillId="10" borderId="48" xfId="0" applyFont="1" applyFill="1" applyBorder="1" applyAlignment="1">
      <alignment horizontal="center" vertical="center" wrapText="1"/>
    </xf>
    <xf numFmtId="166" fontId="154" fillId="10" borderId="48" xfId="0" applyNumberFormat="1" applyFont="1" applyFill="1" applyBorder="1" applyAlignment="1">
      <alignment horizontal="center" vertical="center" wrapText="1"/>
    </xf>
    <xf numFmtId="4" fontId="154" fillId="10" borderId="49" xfId="0" applyNumberFormat="1" applyFont="1" applyFill="1" applyBorder="1" applyAlignment="1">
      <alignment horizontal="center" vertical="center" wrapText="1"/>
    </xf>
    <xf numFmtId="4" fontId="154" fillId="10" borderId="15" xfId="0" applyNumberFormat="1" applyFont="1" applyFill="1" applyBorder="1" applyAlignment="1">
      <alignment horizontal="center" vertical="center" wrapText="1"/>
    </xf>
    <xf numFmtId="0" fontId="65" fillId="10" borderId="17" xfId="0" applyFont="1" applyFill="1" applyBorder="1" applyAlignment="1">
      <alignment vertical="center"/>
    </xf>
    <xf numFmtId="4" fontId="157" fillId="10" borderId="39" xfId="0" applyNumberFormat="1" applyFont="1" applyFill="1" applyBorder="1" applyAlignment="1">
      <alignment vertical="center"/>
    </xf>
    <xf numFmtId="0" fontId="157" fillId="10" borderId="20" xfId="0" applyFont="1" applyFill="1" applyBorder="1" applyAlignment="1">
      <alignment horizontal="center" vertical="center"/>
    </xf>
    <xf numFmtId="0" fontId="157" fillId="10" borderId="23" xfId="0" applyFont="1" applyFill="1" applyBorder="1" applyAlignment="1">
      <alignment vertical="center"/>
    </xf>
    <xf numFmtId="0" fontId="157" fillId="10" borderId="22" xfId="0" applyFont="1" applyFill="1" applyBorder="1" applyAlignment="1">
      <alignment vertical="center"/>
    </xf>
    <xf numFmtId="0" fontId="157" fillId="10" borderId="20" xfId="0" applyFont="1" applyFill="1" applyBorder="1" applyAlignment="1">
      <alignment vertical="center"/>
    </xf>
    <xf numFmtId="0" fontId="154" fillId="33" borderId="44" xfId="0" applyFont="1" applyFill="1" applyBorder="1" applyAlignment="1">
      <alignment horizontal="left" vertical="center" wrapText="1"/>
    </xf>
    <xf numFmtId="0" fontId="6" fillId="33" borderId="44" xfId="0" applyFont="1" applyFill="1" applyBorder="1" applyAlignment="1">
      <alignment horizontal="left" vertical="center" wrapText="1"/>
    </xf>
    <xf numFmtId="0" fontId="139" fillId="33" borderId="44" xfId="0" applyFont="1" applyFill="1" applyBorder="1" applyAlignment="1">
      <alignment horizontal="center" vertical="center" wrapText="1"/>
    </xf>
    <xf numFmtId="166" fontId="154" fillId="33" borderId="44" xfId="0" applyNumberFormat="1" applyFont="1" applyFill="1" applyBorder="1" applyAlignment="1">
      <alignment horizontal="center" vertical="center" wrapText="1"/>
    </xf>
    <xf numFmtId="4" fontId="132" fillId="33" borderId="50" xfId="0" applyNumberFormat="1" applyFont="1" applyFill="1" applyBorder="1" applyAlignment="1">
      <alignment horizontal="center" vertical="center" wrapText="1"/>
    </xf>
    <xf numFmtId="0" fontId="132" fillId="33" borderId="44" xfId="0" applyFont="1" applyFill="1" applyBorder="1" applyAlignment="1">
      <alignment horizontal="left" vertical="center" wrapText="1"/>
    </xf>
    <xf numFmtId="0" fontId="132" fillId="33" borderId="44" xfId="0" applyFont="1" applyFill="1" applyBorder="1" applyAlignment="1">
      <alignment horizontal="center" vertical="center" wrapText="1"/>
    </xf>
    <xf numFmtId="166" fontId="132" fillId="33" borderId="44" xfId="0" applyNumberFormat="1" applyFont="1" applyFill="1" applyBorder="1" applyAlignment="1">
      <alignment horizontal="center" vertical="center" wrapText="1"/>
    </xf>
    <xf numFmtId="1" fontId="5" fillId="33" borderId="51" xfId="0" applyNumberFormat="1" applyFont="1" applyFill="1" applyBorder="1" applyAlignment="1">
      <alignment horizontal="center" vertical="center" wrapText="1"/>
    </xf>
    <xf numFmtId="4" fontId="13" fillId="33" borderId="41" xfId="0" applyNumberFormat="1" applyFont="1" applyFill="1" applyBorder="1" applyAlignment="1">
      <alignment horizontal="center" vertical="center"/>
    </xf>
    <xf numFmtId="4" fontId="13" fillId="33" borderId="15" xfId="0" applyNumberFormat="1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left" vertical="center" wrapText="1"/>
    </xf>
    <xf numFmtId="0" fontId="149" fillId="33" borderId="42" xfId="0" applyFont="1" applyFill="1" applyBorder="1" applyAlignment="1">
      <alignment horizontal="left" vertical="center" wrapText="1"/>
    </xf>
    <xf numFmtId="0" fontId="132" fillId="33" borderId="42" xfId="0" applyFont="1" applyFill="1" applyBorder="1" applyAlignment="1">
      <alignment horizontal="center" vertical="center" wrapText="1"/>
    </xf>
    <xf numFmtId="166" fontId="132" fillId="33" borderId="42" xfId="0" applyNumberFormat="1" applyFont="1" applyFill="1" applyBorder="1" applyAlignment="1">
      <alignment horizontal="center" vertical="center" wrapText="1"/>
    </xf>
    <xf numFmtId="4" fontId="13" fillId="33" borderId="46" xfId="0" applyNumberFormat="1" applyFont="1" applyFill="1" applyBorder="1" applyAlignment="1">
      <alignment horizontal="center" vertical="center"/>
    </xf>
    <xf numFmtId="0" fontId="139" fillId="33" borderId="44" xfId="0" applyFont="1" applyFill="1" applyBorder="1" applyAlignment="1">
      <alignment horizontal="left" vertical="center" wrapText="1"/>
    </xf>
    <xf numFmtId="0" fontId="149" fillId="33" borderId="44" xfId="0" applyFont="1" applyFill="1" applyBorder="1" applyAlignment="1">
      <alignment horizontal="left" vertical="center" wrapText="1"/>
    </xf>
    <xf numFmtId="4" fontId="132" fillId="33" borderId="50" xfId="0" applyNumberFormat="1" applyFont="1" applyFill="1" applyBorder="1" applyAlignment="1">
      <alignment horizontal="center" vertical="center"/>
    </xf>
    <xf numFmtId="4" fontId="138" fillId="33" borderId="15" xfId="0" applyNumberFormat="1" applyFont="1" applyFill="1" applyBorder="1" applyAlignment="1">
      <alignment vertical="center"/>
    </xf>
    <xf numFmtId="4" fontId="138" fillId="33" borderId="0" xfId="0" applyNumberFormat="1" applyFont="1" applyFill="1" applyAlignment="1">
      <alignment horizontal="center" vertical="center"/>
    </xf>
    <xf numFmtId="4" fontId="138" fillId="33" borderId="18" xfId="0" applyNumberFormat="1" applyFont="1" applyFill="1" applyBorder="1" applyAlignment="1">
      <alignment horizontal="center" vertical="center"/>
    </xf>
    <xf numFmtId="0" fontId="132" fillId="33" borderId="40" xfId="0" applyFont="1" applyFill="1" applyBorder="1" applyAlignment="1">
      <alignment vertical="center" wrapText="1"/>
    </xf>
    <xf numFmtId="0" fontId="132" fillId="33" borderId="40" xfId="0" applyFont="1" applyFill="1" applyBorder="1" applyAlignment="1">
      <alignment horizontal="left" vertical="center"/>
    </xf>
    <xf numFmtId="0" fontId="6" fillId="33" borderId="42" xfId="0" applyFont="1" applyFill="1" applyBorder="1" applyAlignment="1">
      <alignment horizontal="left" vertical="center" wrapText="1"/>
    </xf>
    <xf numFmtId="1" fontId="5" fillId="33" borderId="45" xfId="0" applyNumberFormat="1" applyFont="1" applyFill="1" applyBorder="1" applyAlignment="1">
      <alignment horizontal="center" vertical="center" wrapText="1"/>
    </xf>
    <xf numFmtId="0" fontId="132" fillId="33" borderId="52" xfId="0" applyFont="1" applyFill="1" applyBorder="1" applyAlignment="1">
      <alignment horizontal="left" vertical="center" wrapText="1"/>
    </xf>
    <xf numFmtId="0" fontId="132" fillId="33" borderId="53" xfId="0" applyFont="1" applyFill="1" applyBorder="1" applyAlignment="1">
      <alignment horizontal="center" vertical="center" wrapText="1"/>
    </xf>
    <xf numFmtId="2" fontId="160" fillId="33" borderId="17" xfId="0" applyNumberFormat="1" applyFont="1" applyFill="1" applyBorder="1" applyAlignment="1">
      <alignment/>
    </xf>
    <xf numFmtId="0" fontId="16" fillId="33" borderId="40" xfId="0" applyFont="1" applyFill="1" applyBorder="1" applyAlignment="1">
      <alignment horizontal="left" vertical="center" wrapText="1"/>
    </xf>
    <xf numFmtId="3" fontId="132" fillId="33" borderId="41" xfId="0" applyNumberFormat="1" applyFont="1" applyFill="1" applyBorder="1" applyAlignment="1">
      <alignment horizontal="center" vertical="center"/>
    </xf>
    <xf numFmtId="3" fontId="132" fillId="33" borderId="15" xfId="0" applyNumberFormat="1" applyFont="1" applyFill="1" applyBorder="1" applyAlignment="1">
      <alignment horizontal="center" vertical="center"/>
    </xf>
    <xf numFmtId="4" fontId="68" fillId="33" borderId="17" xfId="0" applyNumberFormat="1" applyFont="1" applyFill="1" applyBorder="1" applyAlignment="1">
      <alignment horizontal="center" vertical="center"/>
    </xf>
    <xf numFmtId="4" fontId="67" fillId="33" borderId="17" xfId="0" applyNumberFormat="1" applyFont="1" applyFill="1" applyBorder="1" applyAlignment="1">
      <alignment horizontal="center" vertical="center"/>
    </xf>
    <xf numFmtId="167" fontId="67" fillId="33" borderId="17" xfId="60" applyFont="1" applyFill="1" applyBorder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132" fillId="33" borderId="42" xfId="0" applyFont="1" applyFill="1" applyBorder="1" applyAlignment="1">
      <alignment horizontal="left" vertical="center" wrapText="1"/>
    </xf>
    <xf numFmtId="4" fontId="134" fillId="7" borderId="15" xfId="0" applyNumberFormat="1" applyFont="1" applyFill="1" applyBorder="1" applyAlignment="1">
      <alignment horizontal="center" vertical="center"/>
    </xf>
    <xf numFmtId="4" fontId="136" fillId="7" borderId="16" xfId="0" applyNumberFormat="1" applyFont="1" applyFill="1" applyBorder="1" applyAlignment="1">
      <alignment vertical="center"/>
    </xf>
    <xf numFmtId="0" fontId="65" fillId="7" borderId="17" xfId="0" applyFont="1" applyFill="1" applyBorder="1" applyAlignment="1">
      <alignment horizontal="center" vertical="center"/>
    </xf>
    <xf numFmtId="4" fontId="68" fillId="7" borderId="17" xfId="0" applyNumberFormat="1" applyFont="1" applyFill="1" applyBorder="1" applyAlignment="1">
      <alignment horizontal="center" vertical="center"/>
    </xf>
    <xf numFmtId="4" fontId="67" fillId="7" borderId="17" xfId="0" applyNumberFormat="1" applyFont="1" applyFill="1" applyBorder="1" applyAlignment="1">
      <alignment horizontal="center" vertical="center"/>
    </xf>
    <xf numFmtId="167" fontId="67" fillId="7" borderId="17" xfId="60" applyFont="1" applyFill="1" applyBorder="1" applyAlignment="1">
      <alignment horizontal="center" vertical="center"/>
    </xf>
    <xf numFmtId="0" fontId="67" fillId="7" borderId="0" xfId="0" applyFont="1" applyFill="1" applyAlignment="1">
      <alignment horizontal="center" vertical="center"/>
    </xf>
    <xf numFmtId="0" fontId="67" fillId="7" borderId="17" xfId="0" applyFont="1" applyFill="1" applyBorder="1" applyAlignment="1">
      <alignment/>
    </xf>
    <xf numFmtId="0" fontId="67" fillId="7" borderId="0" xfId="0" applyFont="1" applyFill="1" applyAlignment="1">
      <alignment/>
    </xf>
    <xf numFmtId="0" fontId="0" fillId="7" borderId="17" xfId="0" applyFill="1" applyBorder="1" applyAlignment="1">
      <alignment/>
    </xf>
    <xf numFmtId="0" fontId="0" fillId="7" borderId="0" xfId="0" applyFill="1" applyAlignment="1">
      <alignment/>
    </xf>
    <xf numFmtId="167" fontId="49" fillId="7" borderId="17" xfId="62" applyFont="1" applyFill="1" applyBorder="1" applyAlignment="1">
      <alignment vertical="center"/>
    </xf>
    <xf numFmtId="0" fontId="157" fillId="7" borderId="15" xfId="0" applyFont="1" applyFill="1" applyBorder="1" applyAlignment="1">
      <alignment vertical="center"/>
    </xf>
    <xf numFmtId="0" fontId="157" fillId="7" borderId="0" xfId="0" applyFont="1" applyFill="1" applyAlignment="1">
      <alignment horizontal="center" vertical="center"/>
    </xf>
    <xf numFmtId="0" fontId="157" fillId="7" borderId="18" xfId="0" applyFont="1" applyFill="1" applyBorder="1" applyAlignment="1">
      <alignment horizontal="center" vertical="center"/>
    </xf>
    <xf numFmtId="0" fontId="157" fillId="7" borderId="0" xfId="0" applyFont="1" applyFill="1" applyAlignment="1">
      <alignment vertical="center"/>
    </xf>
    <xf numFmtId="0" fontId="157" fillId="7" borderId="16" xfId="0" applyFont="1" applyFill="1" applyBorder="1" applyAlignment="1">
      <alignment vertical="center"/>
    </xf>
    <xf numFmtId="0" fontId="157" fillId="7" borderId="18" xfId="0" applyFont="1" applyFill="1" applyBorder="1" applyAlignment="1">
      <alignment vertical="center"/>
    </xf>
    <xf numFmtId="0" fontId="158" fillId="7" borderId="0" xfId="0" applyFont="1" applyFill="1" applyAlignment="1">
      <alignment/>
    </xf>
    <xf numFmtId="167" fontId="0" fillId="7" borderId="0" xfId="60" applyFont="1" applyFill="1" applyBorder="1" applyAlignment="1">
      <alignment/>
    </xf>
    <xf numFmtId="0" fontId="11" fillId="33" borderId="40" xfId="0" applyFont="1" applyFill="1" applyBorder="1" applyAlignment="1">
      <alignment vertical="center" wrapText="1"/>
    </xf>
    <xf numFmtId="0" fontId="5" fillId="33" borderId="40" xfId="0" applyFont="1" applyFill="1" applyBorder="1" applyAlignment="1">
      <alignment vertical="center" wrapText="1"/>
    </xf>
    <xf numFmtId="0" fontId="144" fillId="7" borderId="40" xfId="0" applyFont="1" applyFill="1" applyBorder="1" applyAlignment="1">
      <alignment horizontal="left" vertical="center"/>
    </xf>
    <xf numFmtId="0" fontId="132" fillId="7" borderId="40" xfId="0" applyFont="1" applyFill="1" applyBorder="1" applyAlignment="1">
      <alignment horizontal="left" vertical="center"/>
    </xf>
    <xf numFmtId="0" fontId="132" fillId="7" borderId="42" xfId="0" applyFont="1" applyFill="1" applyBorder="1" applyAlignment="1">
      <alignment horizontal="left" vertical="center"/>
    </xf>
    <xf numFmtId="0" fontId="6" fillId="7" borderId="42" xfId="0" applyFont="1" applyFill="1" applyBorder="1" applyAlignment="1">
      <alignment vertical="center" wrapText="1"/>
    </xf>
    <xf numFmtId="166" fontId="132" fillId="7" borderId="42" xfId="0" applyNumberFormat="1" applyFont="1" applyFill="1" applyBorder="1" applyAlignment="1">
      <alignment horizontal="center" vertical="center" wrapText="1"/>
    </xf>
    <xf numFmtId="4" fontId="5" fillId="7" borderId="46" xfId="0" applyNumberFormat="1" applyFont="1" applyFill="1" applyBorder="1" applyAlignment="1">
      <alignment horizontal="center" vertical="center"/>
    </xf>
    <xf numFmtId="1" fontId="139" fillId="10" borderId="47" xfId="0" applyNumberFormat="1" applyFont="1" applyFill="1" applyBorder="1" applyAlignment="1">
      <alignment horizontal="center" vertical="center" wrapText="1"/>
    </xf>
    <xf numFmtId="0" fontId="161" fillId="10" borderId="48" xfId="0" applyFont="1" applyFill="1" applyBorder="1" applyAlignment="1">
      <alignment horizontal="left" vertical="center" wrapText="1"/>
    </xf>
    <xf numFmtId="4" fontId="134" fillId="10" borderId="15" xfId="0" applyNumberFormat="1" applyFont="1" applyFill="1" applyBorder="1" applyAlignment="1">
      <alignment horizontal="center" vertical="center"/>
    </xf>
    <xf numFmtId="4" fontId="136" fillId="10" borderId="16" xfId="0" applyNumberFormat="1" applyFont="1" applyFill="1" applyBorder="1" applyAlignment="1">
      <alignment vertical="center"/>
    </xf>
    <xf numFmtId="0" fontId="67" fillId="10" borderId="17" xfId="0" applyFont="1" applyFill="1" applyBorder="1" applyAlignment="1">
      <alignment/>
    </xf>
    <xf numFmtId="4" fontId="157" fillId="10" borderId="22" xfId="0" applyNumberFormat="1" applyFont="1" applyFill="1" applyBorder="1" applyAlignment="1">
      <alignment vertical="center"/>
    </xf>
    <xf numFmtId="0" fontId="132" fillId="33" borderId="42" xfId="0" applyFont="1" applyFill="1" applyBorder="1" applyAlignment="1">
      <alignment horizontal="left" vertical="center"/>
    </xf>
    <xf numFmtId="166" fontId="13" fillId="33" borderId="42" xfId="0" applyNumberFormat="1" applyFont="1" applyFill="1" applyBorder="1" applyAlignment="1">
      <alignment horizontal="center" vertical="center" wrapText="1"/>
    </xf>
    <xf numFmtId="4" fontId="5" fillId="33" borderId="46" xfId="0" applyNumberFormat="1" applyFont="1" applyFill="1" applyBorder="1" applyAlignment="1">
      <alignment horizontal="center" vertical="center"/>
    </xf>
    <xf numFmtId="0" fontId="160" fillId="33" borderId="0" xfId="0" applyFont="1" applyFill="1" applyAlignment="1">
      <alignment/>
    </xf>
    <xf numFmtId="1" fontId="132" fillId="33" borderId="45" xfId="0" applyNumberFormat="1" applyFont="1" applyFill="1" applyBorder="1" applyAlignment="1">
      <alignment horizontal="center" vertical="center" wrapText="1"/>
    </xf>
    <xf numFmtId="0" fontId="132" fillId="33" borderId="52" xfId="0" applyFont="1" applyFill="1" applyBorder="1" applyAlignment="1">
      <alignment horizontal="left" vertical="center"/>
    </xf>
    <xf numFmtId="0" fontId="132" fillId="33" borderId="54" xfId="0" applyFont="1" applyFill="1" applyBorder="1" applyAlignment="1">
      <alignment horizontal="center" vertical="center" wrapText="1"/>
    </xf>
    <xf numFmtId="0" fontId="149" fillId="33" borderId="55" xfId="0" applyFont="1" applyFill="1" applyBorder="1" applyAlignment="1">
      <alignment horizontal="left" vertical="center" wrapText="1"/>
    </xf>
    <xf numFmtId="0" fontId="132" fillId="33" borderId="56" xfId="0" applyFont="1" applyFill="1" applyBorder="1" applyAlignment="1">
      <alignment horizontal="left" vertical="center"/>
    </xf>
    <xf numFmtId="0" fontId="149" fillId="33" borderId="42" xfId="0" applyFont="1" applyFill="1" applyBorder="1" applyAlignment="1">
      <alignment vertical="center" wrapText="1"/>
    </xf>
    <xf numFmtId="166" fontId="13" fillId="33" borderId="40" xfId="0" applyNumberFormat="1" applyFont="1" applyFill="1" applyBorder="1" applyAlignment="1">
      <alignment horizontal="center" vertical="center" wrapText="1"/>
    </xf>
    <xf numFmtId="0" fontId="132" fillId="33" borderId="57" xfId="0" applyFont="1" applyFill="1" applyBorder="1" applyAlignment="1">
      <alignment horizontal="left" vertical="center"/>
    </xf>
    <xf numFmtId="0" fontId="149" fillId="13" borderId="40" xfId="0" applyFont="1" applyFill="1" applyBorder="1" applyAlignment="1">
      <alignment vertical="center" wrapText="1"/>
    </xf>
    <xf numFmtId="0" fontId="132" fillId="13" borderId="40" xfId="0" applyFont="1" applyFill="1" applyBorder="1" applyAlignment="1">
      <alignment horizontal="center" vertical="center" wrapText="1"/>
    </xf>
    <xf numFmtId="166" fontId="13" fillId="13" borderId="40" xfId="0" applyNumberFormat="1" applyFont="1" applyFill="1" applyBorder="1" applyAlignment="1">
      <alignment horizontal="center" vertical="center" wrapText="1"/>
    </xf>
    <xf numFmtId="4" fontId="13" fillId="13" borderId="41" xfId="0" applyNumberFormat="1" applyFont="1" applyFill="1" applyBorder="1" applyAlignment="1">
      <alignment horizontal="center" vertical="center"/>
    </xf>
    <xf numFmtId="4" fontId="13" fillId="13" borderId="15" xfId="0" applyNumberFormat="1" applyFont="1" applyFill="1" applyBorder="1" applyAlignment="1">
      <alignment horizontal="center" vertical="center"/>
    </xf>
    <xf numFmtId="0" fontId="65" fillId="12" borderId="17" xfId="0" applyFont="1" applyFill="1" applyBorder="1" applyAlignment="1">
      <alignment vertical="center"/>
    </xf>
    <xf numFmtId="4" fontId="68" fillId="12" borderId="17" xfId="0" applyNumberFormat="1" applyFont="1" applyFill="1" applyBorder="1" applyAlignment="1">
      <alignment vertical="center"/>
    </xf>
    <xf numFmtId="4" fontId="67" fillId="12" borderId="17" xfId="0" applyNumberFormat="1" applyFont="1" applyFill="1" applyBorder="1" applyAlignment="1">
      <alignment vertical="center"/>
    </xf>
    <xf numFmtId="167" fontId="67" fillId="12" borderId="17" xfId="60" applyFont="1" applyFill="1" applyBorder="1" applyAlignment="1">
      <alignment vertical="center"/>
    </xf>
    <xf numFmtId="4" fontId="67" fillId="12" borderId="17" xfId="0" applyNumberFormat="1" applyFont="1" applyFill="1" applyBorder="1" applyAlignment="1">
      <alignment/>
    </xf>
    <xf numFmtId="0" fontId="67" fillId="12" borderId="0" xfId="0" applyFont="1" applyFill="1" applyAlignment="1">
      <alignment/>
    </xf>
    <xf numFmtId="0" fontId="67" fillId="12" borderId="17" xfId="0" applyFont="1" applyFill="1" applyBorder="1" applyAlignment="1">
      <alignment/>
    </xf>
    <xf numFmtId="0" fontId="0" fillId="12" borderId="17" xfId="0" applyFill="1" applyBorder="1" applyAlignment="1">
      <alignment/>
    </xf>
    <xf numFmtId="0" fontId="0" fillId="12" borderId="0" xfId="0" applyFill="1" applyAlignment="1">
      <alignment/>
    </xf>
    <xf numFmtId="167" fontId="49" fillId="12" borderId="17" xfId="62" applyFont="1" applyFill="1" applyBorder="1" applyAlignment="1">
      <alignment vertical="center"/>
    </xf>
    <xf numFmtId="0" fontId="157" fillId="12" borderId="15" xfId="0" applyFont="1" applyFill="1" applyBorder="1" applyAlignment="1">
      <alignment vertical="center"/>
    </xf>
    <xf numFmtId="0" fontId="157" fillId="12" borderId="0" xfId="0" applyFont="1" applyFill="1" applyAlignment="1">
      <alignment horizontal="center" vertical="center"/>
    </xf>
    <xf numFmtId="0" fontId="157" fillId="12" borderId="18" xfId="0" applyFont="1" applyFill="1" applyBorder="1" applyAlignment="1">
      <alignment horizontal="center" vertical="center"/>
    </xf>
    <xf numFmtId="0" fontId="157" fillId="12" borderId="0" xfId="0" applyFont="1" applyFill="1" applyAlignment="1">
      <alignment vertical="center"/>
    </xf>
    <xf numFmtId="0" fontId="157" fillId="12" borderId="16" xfId="0" applyFont="1" applyFill="1" applyBorder="1" applyAlignment="1">
      <alignment vertical="center"/>
    </xf>
    <xf numFmtId="0" fontId="157" fillId="12" borderId="18" xfId="0" applyFont="1" applyFill="1" applyBorder="1" applyAlignment="1">
      <alignment vertical="center"/>
    </xf>
    <xf numFmtId="0" fontId="158" fillId="12" borderId="0" xfId="0" applyFont="1" applyFill="1" applyAlignment="1">
      <alignment/>
    </xf>
    <xf numFmtId="167" fontId="0" fillId="12" borderId="0" xfId="60" applyFont="1" applyFill="1" applyBorder="1" applyAlignment="1">
      <alignment/>
    </xf>
    <xf numFmtId="0" fontId="149" fillId="13" borderId="55" xfId="0" applyFont="1" applyFill="1" applyBorder="1" applyAlignment="1">
      <alignment vertical="center" wrapText="1"/>
    </xf>
    <xf numFmtId="1" fontId="132" fillId="13" borderId="51" xfId="0" applyNumberFormat="1" applyFont="1" applyFill="1" applyBorder="1" applyAlignment="1">
      <alignment horizontal="center" vertical="center" wrapText="1"/>
    </xf>
    <xf numFmtId="0" fontId="132" fillId="13" borderId="55" xfId="0" applyFont="1" applyFill="1" applyBorder="1" applyAlignment="1">
      <alignment horizontal="left" vertical="center"/>
    </xf>
    <xf numFmtId="0" fontId="149" fillId="13" borderId="42" xfId="0" applyFont="1" applyFill="1" applyBorder="1" applyAlignment="1">
      <alignment vertical="center" wrapText="1"/>
    </xf>
    <xf numFmtId="0" fontId="132" fillId="13" borderId="55" xfId="0" applyFont="1" applyFill="1" applyBorder="1" applyAlignment="1">
      <alignment horizontal="center" vertical="center" wrapText="1"/>
    </xf>
    <xf numFmtId="166" fontId="13" fillId="13" borderId="55" xfId="0" applyNumberFormat="1" applyFont="1" applyFill="1" applyBorder="1" applyAlignment="1">
      <alignment horizontal="center" vertical="center" wrapText="1"/>
    </xf>
    <xf numFmtId="4" fontId="13" fillId="13" borderId="58" xfId="0" applyNumberFormat="1" applyFont="1" applyFill="1" applyBorder="1" applyAlignment="1">
      <alignment horizontal="center" vertical="center"/>
    </xf>
    <xf numFmtId="1" fontId="9" fillId="10" borderId="47" xfId="0" applyNumberFormat="1" applyFont="1" applyFill="1" applyBorder="1" applyAlignment="1">
      <alignment horizontal="center" vertical="center" wrapText="1"/>
    </xf>
    <xf numFmtId="166" fontId="157" fillId="10" borderId="39" xfId="0" applyNumberFormat="1" applyFont="1" applyFill="1" applyBorder="1" applyAlignment="1">
      <alignment vertical="center"/>
    </xf>
    <xf numFmtId="43" fontId="0" fillId="10" borderId="0" xfId="0" applyNumberFormat="1" applyFill="1" applyAlignment="1">
      <alignment/>
    </xf>
    <xf numFmtId="1" fontId="132" fillId="33" borderId="59" xfId="0" applyNumberFormat="1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left" vertical="center" wrapText="1"/>
    </xf>
    <xf numFmtId="166" fontId="13" fillId="33" borderId="44" xfId="0" applyNumberFormat="1" applyFont="1" applyFill="1" applyBorder="1" applyAlignment="1">
      <alignment horizontal="center" vertical="center" wrapText="1"/>
    </xf>
    <xf numFmtId="2" fontId="132" fillId="33" borderId="50" xfId="0" applyNumberFormat="1" applyFont="1" applyFill="1" applyBorder="1" applyAlignment="1">
      <alignment/>
    </xf>
    <xf numFmtId="2" fontId="132" fillId="33" borderId="15" xfId="0" applyNumberFormat="1" applyFont="1" applyFill="1" applyBorder="1" applyAlignment="1">
      <alignment/>
    </xf>
    <xf numFmtId="4" fontId="75" fillId="33" borderId="17" xfId="0" applyNumberFormat="1" applyFont="1" applyFill="1" applyBorder="1" applyAlignment="1">
      <alignment vertical="center"/>
    </xf>
    <xf numFmtId="4" fontId="64" fillId="33" borderId="17" xfId="0" applyNumberFormat="1" applyFont="1" applyFill="1" applyBorder="1" applyAlignment="1">
      <alignment/>
    </xf>
    <xf numFmtId="1" fontId="132" fillId="33" borderId="43" xfId="0" applyNumberFormat="1" applyFont="1" applyFill="1" applyBorder="1" applyAlignment="1">
      <alignment vertical="center"/>
    </xf>
    <xf numFmtId="2" fontId="0" fillId="33" borderId="0" xfId="0" applyNumberFormat="1" applyFill="1" applyAlignment="1">
      <alignment/>
    </xf>
    <xf numFmtId="0" fontId="8" fillId="33" borderId="42" xfId="0" applyFont="1" applyFill="1" applyBorder="1" applyAlignment="1">
      <alignment vertical="center" wrapText="1"/>
    </xf>
    <xf numFmtId="169" fontId="65" fillId="33" borderId="17" xfId="62" applyNumberFormat="1" applyFont="1" applyFill="1" applyBorder="1" applyAlignment="1">
      <alignment vertical="center" wrapText="1"/>
    </xf>
    <xf numFmtId="49" fontId="13" fillId="33" borderId="41" xfId="0" applyNumberFormat="1" applyFont="1" applyFill="1" applyBorder="1" applyAlignment="1">
      <alignment horizontal="center" vertical="center"/>
    </xf>
    <xf numFmtId="1" fontId="132" fillId="33" borderId="43" xfId="0" applyNumberFormat="1" applyFont="1" applyFill="1" applyBorder="1" applyAlignment="1">
      <alignment horizontal="center" vertical="center"/>
    </xf>
    <xf numFmtId="0" fontId="149" fillId="33" borderId="40" xfId="0" applyFont="1" applyFill="1" applyBorder="1" applyAlignment="1">
      <alignment vertical="center" wrapText="1"/>
    </xf>
    <xf numFmtId="1" fontId="132" fillId="33" borderId="45" xfId="0" applyNumberFormat="1" applyFont="1" applyFill="1" applyBorder="1" applyAlignment="1">
      <alignment horizontal="center" vertical="center"/>
    </xf>
    <xf numFmtId="0" fontId="158" fillId="33" borderId="0" xfId="0" applyFont="1" applyFill="1" applyAlignment="1">
      <alignment vertical="center"/>
    </xf>
    <xf numFmtId="167" fontId="158" fillId="33" borderId="0" xfId="60" applyFont="1" applyFill="1" applyBorder="1" applyAlignment="1">
      <alignment vertical="center"/>
    </xf>
    <xf numFmtId="1" fontId="132" fillId="7" borderId="43" xfId="0" applyNumberFormat="1" applyFont="1" applyFill="1" applyBorder="1" applyAlignment="1">
      <alignment horizontal="center" vertical="center"/>
    </xf>
    <xf numFmtId="0" fontId="144" fillId="7" borderId="40" xfId="0" applyFont="1" applyFill="1" applyBorder="1" applyAlignment="1">
      <alignment horizontal="left" vertical="center" wrapText="1"/>
    </xf>
    <xf numFmtId="166" fontId="13" fillId="7" borderId="40" xfId="0" applyNumberFormat="1" applyFont="1" applyFill="1" applyBorder="1" applyAlignment="1">
      <alignment horizontal="center" vertical="center" wrapText="1"/>
    </xf>
    <xf numFmtId="1" fontId="132" fillId="7" borderId="45" xfId="0" applyNumberFormat="1" applyFont="1" applyFill="1" applyBorder="1" applyAlignment="1">
      <alignment horizontal="center" vertical="center"/>
    </xf>
    <xf numFmtId="0" fontId="132" fillId="7" borderId="42" xfId="0" applyFont="1" applyFill="1" applyBorder="1" applyAlignment="1">
      <alignment horizontal="left" vertical="center" wrapText="1"/>
    </xf>
    <xf numFmtId="166" fontId="13" fillId="7" borderId="42" xfId="0" applyNumberFormat="1" applyFont="1" applyFill="1" applyBorder="1" applyAlignment="1">
      <alignment horizontal="center" vertical="center" wrapText="1"/>
    </xf>
    <xf numFmtId="4" fontId="13" fillId="7" borderId="46" xfId="0" applyNumberFormat="1" applyFont="1" applyFill="1" applyBorder="1" applyAlignment="1">
      <alignment horizontal="center" vertical="center"/>
    </xf>
    <xf numFmtId="0" fontId="11" fillId="10" borderId="48" xfId="0" applyFont="1" applyFill="1" applyBorder="1" applyAlignment="1">
      <alignment horizontal="left" vertical="center" wrapText="1"/>
    </xf>
    <xf numFmtId="0" fontId="6" fillId="10" borderId="48" xfId="0" applyFont="1" applyFill="1" applyBorder="1" applyAlignment="1">
      <alignment horizontal="left" vertical="center" wrapText="1"/>
    </xf>
    <xf numFmtId="0" fontId="9" fillId="10" borderId="48" xfId="0" applyFont="1" applyFill="1" applyBorder="1" applyAlignment="1">
      <alignment horizontal="center" vertical="center" wrapText="1"/>
    </xf>
    <xf numFmtId="166" fontId="11" fillId="10" borderId="48" xfId="0" applyNumberFormat="1" applyFont="1" applyFill="1" applyBorder="1" applyAlignment="1">
      <alignment horizontal="center" vertical="center" wrapText="1"/>
    </xf>
    <xf numFmtId="4" fontId="11" fillId="10" borderId="49" xfId="0" applyNumberFormat="1" applyFont="1" applyFill="1" applyBorder="1" applyAlignment="1">
      <alignment horizontal="center" vertical="center" wrapText="1"/>
    </xf>
    <xf numFmtId="4" fontId="11" fillId="10" borderId="15" xfId="0" applyNumberFormat="1" applyFont="1" applyFill="1" applyBorder="1" applyAlignment="1">
      <alignment horizontal="center" vertical="center" wrapText="1"/>
    </xf>
    <xf numFmtId="4" fontId="75" fillId="10" borderId="17" xfId="0" applyNumberFormat="1" applyFont="1" applyFill="1" applyBorder="1" applyAlignment="1">
      <alignment vertical="center"/>
    </xf>
    <xf numFmtId="4" fontId="3" fillId="10" borderId="39" xfId="0" applyNumberFormat="1" applyFont="1" applyFill="1" applyBorder="1" applyAlignment="1">
      <alignment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vertical="center"/>
    </xf>
    <xf numFmtId="0" fontId="3" fillId="10" borderId="22" xfId="0" applyFont="1" applyFill="1" applyBorder="1" applyAlignment="1">
      <alignment vertical="center"/>
    </xf>
    <xf numFmtId="0" fontId="3" fillId="10" borderId="20" xfId="0" applyFont="1" applyFill="1" applyBorder="1" applyAlignment="1">
      <alignment vertical="center"/>
    </xf>
    <xf numFmtId="1" fontId="139" fillId="33" borderId="59" xfId="0" applyNumberFormat="1" applyFont="1" applyFill="1" applyBorder="1" applyAlignment="1">
      <alignment horizontal="center" vertical="center"/>
    </xf>
    <xf numFmtId="0" fontId="143" fillId="33" borderId="44" xfId="0" applyFont="1" applyFill="1" applyBorder="1" applyAlignment="1">
      <alignment horizontal="left" vertical="center" wrapText="1"/>
    </xf>
    <xf numFmtId="166" fontId="16" fillId="33" borderId="44" xfId="0" applyNumberFormat="1" applyFont="1" applyFill="1" applyBorder="1" applyAlignment="1">
      <alignment horizontal="center" vertical="center" wrapText="1"/>
    </xf>
    <xf numFmtId="4" fontId="16" fillId="33" borderId="60" xfId="0" applyNumberFormat="1" applyFont="1" applyFill="1" applyBorder="1" applyAlignment="1">
      <alignment horizontal="center" vertical="center"/>
    </xf>
    <xf numFmtId="4" fontId="16" fillId="33" borderId="29" xfId="0" applyNumberFormat="1" applyFont="1" applyFill="1" applyBorder="1" applyAlignment="1">
      <alignment horizontal="center" vertical="center"/>
    </xf>
    <xf numFmtId="4" fontId="16" fillId="33" borderId="61" xfId="0" applyNumberFormat="1" applyFont="1" applyFill="1" applyBorder="1" applyAlignment="1">
      <alignment horizontal="center" vertical="center"/>
    </xf>
    <xf numFmtId="4" fontId="16" fillId="33" borderId="15" xfId="0" applyNumberFormat="1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vertical="center"/>
    </xf>
    <xf numFmtId="167" fontId="72" fillId="33" borderId="17" xfId="60" applyFont="1" applyFill="1" applyBorder="1" applyAlignment="1">
      <alignment vertical="center"/>
    </xf>
    <xf numFmtId="4" fontId="72" fillId="33" borderId="17" xfId="0" applyNumberFormat="1" applyFont="1" applyFill="1" applyBorder="1" applyAlignment="1">
      <alignment/>
    </xf>
    <xf numFmtId="0" fontId="72" fillId="33" borderId="0" xfId="0" applyFont="1" applyFill="1" applyAlignment="1">
      <alignment/>
    </xf>
    <xf numFmtId="0" fontId="72" fillId="33" borderId="17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2" fontId="4" fillId="33" borderId="0" xfId="0" applyNumberFormat="1" applyFont="1" applyFill="1" applyAlignment="1">
      <alignment/>
    </xf>
    <xf numFmtId="0" fontId="138" fillId="33" borderId="0" xfId="0" applyFont="1" applyFill="1" applyAlignment="1">
      <alignment horizontal="center" vertical="center"/>
    </xf>
    <xf numFmtId="0" fontId="138" fillId="33" borderId="18" xfId="0" applyFont="1" applyFill="1" applyBorder="1" applyAlignment="1">
      <alignment horizontal="center" vertical="center"/>
    </xf>
    <xf numFmtId="0" fontId="138" fillId="33" borderId="0" xfId="0" applyFont="1" applyFill="1" applyAlignment="1">
      <alignment vertical="center"/>
    </xf>
    <xf numFmtId="0" fontId="138" fillId="33" borderId="16" xfId="0" applyFont="1" applyFill="1" applyBorder="1" applyAlignment="1">
      <alignment vertical="center"/>
    </xf>
    <xf numFmtId="0" fontId="138" fillId="33" borderId="18" xfId="0" applyFont="1" applyFill="1" applyBorder="1" applyAlignment="1">
      <alignment vertical="center"/>
    </xf>
    <xf numFmtId="167" fontId="4" fillId="33" borderId="0" xfId="60" applyFont="1" applyFill="1" applyBorder="1" applyAlignment="1">
      <alignment/>
    </xf>
    <xf numFmtId="1" fontId="132" fillId="33" borderId="40" xfId="0" applyNumberFormat="1" applyFont="1" applyFill="1" applyBorder="1" applyAlignment="1">
      <alignment horizontal="center" vertical="center"/>
    </xf>
    <xf numFmtId="4" fontId="13" fillId="33" borderId="56" xfId="0" applyNumberFormat="1" applyFont="1" applyFill="1" applyBorder="1" applyAlignment="1">
      <alignment horizontal="center" vertical="center"/>
    </xf>
    <xf numFmtId="4" fontId="13" fillId="33" borderId="34" xfId="0" applyNumberFormat="1" applyFont="1" applyFill="1" applyBorder="1" applyAlignment="1">
      <alignment horizontal="center" vertical="center"/>
    </xf>
    <xf numFmtId="4" fontId="13" fillId="33" borderId="31" xfId="0" applyNumberFormat="1" applyFont="1" applyFill="1" applyBorder="1" applyAlignment="1">
      <alignment horizontal="center" vertical="center"/>
    </xf>
    <xf numFmtId="4" fontId="13" fillId="33" borderId="0" xfId="0" applyNumberFormat="1" applyFont="1" applyFill="1" applyAlignment="1">
      <alignment horizontal="center" vertical="center"/>
    </xf>
    <xf numFmtId="1" fontId="132" fillId="33" borderId="51" xfId="0" applyNumberFormat="1" applyFont="1" applyFill="1" applyBorder="1" applyAlignment="1">
      <alignment horizontal="center" vertical="center"/>
    </xf>
    <xf numFmtId="0" fontId="132" fillId="33" borderId="55" xfId="0" applyFont="1" applyFill="1" applyBorder="1" applyAlignment="1">
      <alignment horizontal="left" vertical="center" wrapText="1"/>
    </xf>
    <xf numFmtId="166" fontId="13" fillId="33" borderId="55" xfId="0" applyNumberFormat="1" applyFont="1" applyFill="1" applyBorder="1" applyAlignment="1">
      <alignment horizontal="center" vertical="center" wrapText="1"/>
    </xf>
    <xf numFmtId="4" fontId="13" fillId="33" borderId="57" xfId="0" applyNumberFormat="1" applyFont="1" applyFill="1" applyBorder="1" applyAlignment="1">
      <alignment horizontal="center" vertical="center"/>
    </xf>
    <xf numFmtId="4" fontId="13" fillId="33" borderId="62" xfId="0" applyNumberFormat="1" applyFont="1" applyFill="1" applyBorder="1" applyAlignment="1">
      <alignment horizontal="center" vertical="center"/>
    </xf>
    <xf numFmtId="0" fontId="149" fillId="10" borderId="48" xfId="0" applyFont="1" applyFill="1" applyBorder="1" applyAlignment="1">
      <alignment vertical="center" wrapText="1"/>
    </xf>
    <xf numFmtId="0" fontId="157" fillId="10" borderId="23" xfId="0" applyFont="1" applyFill="1" applyBorder="1" applyAlignment="1">
      <alignment horizontal="center" vertical="center"/>
    </xf>
    <xf numFmtId="0" fontId="15" fillId="33" borderId="63" xfId="0" applyFont="1" applyFill="1" applyBorder="1" applyAlignment="1">
      <alignment horizontal="left" vertical="center" wrapText="1"/>
    </xf>
    <xf numFmtId="0" fontId="132" fillId="33" borderId="63" xfId="0" applyFont="1" applyFill="1" applyBorder="1" applyAlignment="1">
      <alignment horizontal="center" vertical="center" wrapText="1"/>
    </xf>
    <xf numFmtId="166" fontId="13" fillId="33" borderId="63" xfId="0" applyNumberFormat="1" applyFont="1" applyFill="1" applyBorder="1" applyAlignment="1">
      <alignment horizontal="center" vertical="center" wrapText="1"/>
    </xf>
    <xf numFmtId="4" fontId="13" fillId="33" borderId="64" xfId="0" applyNumberFormat="1" applyFont="1" applyFill="1" applyBorder="1" applyAlignment="1">
      <alignment horizontal="center" vertical="center"/>
    </xf>
    <xf numFmtId="2" fontId="67" fillId="33" borderId="0" xfId="0" applyNumberFormat="1" applyFont="1" applyFill="1" applyAlignment="1">
      <alignment/>
    </xf>
    <xf numFmtId="0" fontId="132" fillId="33" borderId="55" xfId="0" applyFont="1" applyFill="1" applyBorder="1" applyAlignment="1">
      <alignment horizontal="center" vertical="center" wrapText="1"/>
    </xf>
    <xf numFmtId="4" fontId="13" fillId="33" borderId="58" xfId="0" applyNumberFormat="1" applyFont="1" applyFill="1" applyBorder="1" applyAlignment="1">
      <alignment horizontal="center" vertical="center"/>
    </xf>
    <xf numFmtId="0" fontId="15" fillId="33" borderId="44" xfId="0" applyFont="1" applyFill="1" applyBorder="1" applyAlignment="1">
      <alignment horizontal="left" vertical="center"/>
    </xf>
    <xf numFmtId="0" fontId="149" fillId="33" borderId="44" xfId="0" applyFont="1" applyFill="1" applyBorder="1" applyAlignment="1">
      <alignment vertical="center" wrapText="1"/>
    </xf>
    <xf numFmtId="4" fontId="13" fillId="33" borderId="60" xfId="0" applyNumberFormat="1" applyFont="1" applyFill="1" applyBorder="1" applyAlignment="1">
      <alignment horizontal="center" vertical="center"/>
    </xf>
    <xf numFmtId="4" fontId="13" fillId="33" borderId="29" xfId="0" applyNumberFormat="1" applyFont="1" applyFill="1" applyBorder="1" applyAlignment="1">
      <alignment horizontal="center" vertical="center"/>
    </xf>
    <xf numFmtId="4" fontId="13" fillId="33" borderId="35" xfId="0" applyNumberFormat="1" applyFont="1" applyFill="1" applyBorder="1" applyAlignment="1">
      <alignment horizontal="center" vertical="center"/>
    </xf>
    <xf numFmtId="4" fontId="132" fillId="33" borderId="29" xfId="0" applyNumberFormat="1" applyFont="1" applyFill="1" applyBorder="1" applyAlignment="1">
      <alignment horizontal="center" vertical="center" wrapText="1"/>
    </xf>
    <xf numFmtId="4" fontId="13" fillId="33" borderId="61" xfId="0" applyNumberFormat="1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left" vertical="center"/>
    </xf>
    <xf numFmtId="49" fontId="132" fillId="33" borderId="31" xfId="0" applyNumberFormat="1" applyFont="1" applyFill="1" applyBorder="1" applyAlignment="1">
      <alignment horizontal="center" vertical="center" wrapText="1"/>
    </xf>
    <xf numFmtId="49" fontId="132" fillId="33" borderId="32" xfId="0" applyNumberFormat="1" applyFont="1" applyFill="1" applyBorder="1" applyAlignment="1">
      <alignment horizontal="center" vertical="center" wrapText="1"/>
    </xf>
    <xf numFmtId="4" fontId="132" fillId="33" borderId="31" xfId="0" applyNumberFormat="1" applyFont="1" applyFill="1" applyBorder="1" applyAlignment="1">
      <alignment horizontal="center" vertical="center" wrapText="1"/>
    </xf>
    <xf numFmtId="4" fontId="13" fillId="33" borderId="65" xfId="0" applyNumberFormat="1" applyFont="1" applyFill="1" applyBorder="1" applyAlignment="1">
      <alignment horizontal="center" vertical="center"/>
    </xf>
    <xf numFmtId="1" fontId="154" fillId="33" borderId="40" xfId="0" applyNumberFormat="1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left" vertical="center"/>
    </xf>
    <xf numFmtId="0" fontId="161" fillId="33" borderId="40" xfId="0" applyFont="1" applyFill="1" applyBorder="1" applyAlignment="1">
      <alignment vertical="center" wrapText="1"/>
    </xf>
    <xf numFmtId="0" fontId="154" fillId="33" borderId="40" xfId="0" applyFont="1" applyFill="1" applyBorder="1" applyAlignment="1">
      <alignment horizontal="center" vertical="center" wrapText="1"/>
    </xf>
    <xf numFmtId="166" fontId="15" fillId="33" borderId="40" xfId="0" applyNumberFormat="1" applyFont="1" applyFill="1" applyBorder="1" applyAlignment="1">
      <alignment horizontal="center" vertical="center" wrapText="1"/>
    </xf>
    <xf numFmtId="4" fontId="15" fillId="33" borderId="56" xfId="0" applyNumberFormat="1" applyFont="1" applyFill="1" applyBorder="1" applyAlignment="1">
      <alignment horizontal="center" vertical="center"/>
    </xf>
    <xf numFmtId="4" fontId="15" fillId="33" borderId="31" xfId="0" applyNumberFormat="1" applyFont="1" applyFill="1" applyBorder="1" applyAlignment="1">
      <alignment horizontal="center" vertical="center"/>
    </xf>
    <xf numFmtId="4" fontId="15" fillId="33" borderId="32" xfId="0" applyNumberFormat="1" applyFont="1" applyFill="1" applyBorder="1" applyAlignment="1">
      <alignment horizontal="center" vertical="center"/>
    </xf>
    <xf numFmtId="4" fontId="15" fillId="33" borderId="53" xfId="0" applyNumberFormat="1" applyFont="1" applyFill="1" applyBorder="1" applyAlignment="1">
      <alignment horizontal="center" vertical="center"/>
    </xf>
    <xf numFmtId="4" fontId="15" fillId="33" borderId="0" xfId="0" applyNumberFormat="1" applyFont="1" applyFill="1" applyAlignment="1">
      <alignment horizontal="center" vertical="center"/>
    </xf>
    <xf numFmtId="0" fontId="84" fillId="33" borderId="17" xfId="0" applyFont="1" applyFill="1" applyBorder="1" applyAlignment="1">
      <alignment vertical="center"/>
    </xf>
    <xf numFmtId="4" fontId="85" fillId="33" borderId="17" xfId="0" applyNumberFormat="1" applyFont="1" applyFill="1" applyBorder="1" applyAlignment="1">
      <alignment vertical="center"/>
    </xf>
    <xf numFmtId="167" fontId="85" fillId="33" borderId="17" xfId="60" applyFont="1" applyFill="1" applyBorder="1" applyAlignment="1">
      <alignment vertical="center"/>
    </xf>
    <xf numFmtId="4" fontId="85" fillId="33" borderId="17" xfId="0" applyNumberFormat="1" applyFont="1" applyFill="1" applyBorder="1" applyAlignment="1">
      <alignment/>
    </xf>
    <xf numFmtId="0" fontId="85" fillId="33" borderId="0" xfId="0" applyFont="1" applyFill="1" applyAlignment="1">
      <alignment/>
    </xf>
    <xf numFmtId="0" fontId="85" fillId="33" borderId="17" xfId="0" applyFont="1" applyFill="1" applyBorder="1" applyAlignment="1">
      <alignment/>
    </xf>
    <xf numFmtId="0" fontId="162" fillId="33" borderId="17" xfId="0" applyFont="1" applyFill="1" applyBorder="1" applyAlignment="1">
      <alignment/>
    </xf>
    <xf numFmtId="0" fontId="17" fillId="33" borderId="0" xfId="0" applyFont="1" applyFill="1" applyAlignment="1">
      <alignment/>
    </xf>
    <xf numFmtId="0" fontId="17" fillId="33" borderId="17" xfId="0" applyFont="1" applyFill="1" applyBorder="1" applyAlignment="1">
      <alignment/>
    </xf>
    <xf numFmtId="167" fontId="87" fillId="33" borderId="17" xfId="62" applyFont="1" applyFill="1" applyBorder="1" applyAlignment="1">
      <alignment vertical="center"/>
    </xf>
    <xf numFmtId="0" fontId="163" fillId="33" borderId="15" xfId="0" applyFont="1" applyFill="1" applyBorder="1" applyAlignment="1">
      <alignment vertical="center"/>
    </xf>
    <xf numFmtId="0" fontId="163" fillId="33" borderId="0" xfId="0" applyFont="1" applyFill="1" applyAlignment="1">
      <alignment horizontal="center" vertical="center"/>
    </xf>
    <xf numFmtId="0" fontId="163" fillId="33" borderId="18" xfId="0" applyFont="1" applyFill="1" applyBorder="1" applyAlignment="1">
      <alignment horizontal="center" vertical="center"/>
    </xf>
    <xf numFmtId="0" fontId="163" fillId="33" borderId="0" xfId="0" applyFont="1" applyFill="1" applyAlignment="1">
      <alignment vertical="center"/>
    </xf>
    <xf numFmtId="0" fontId="163" fillId="33" borderId="16" xfId="0" applyFont="1" applyFill="1" applyBorder="1" applyAlignment="1">
      <alignment vertical="center"/>
    </xf>
    <xf numFmtId="0" fontId="163" fillId="33" borderId="18" xfId="0" applyFont="1" applyFill="1" applyBorder="1" applyAlignment="1">
      <alignment vertical="center"/>
    </xf>
    <xf numFmtId="0" fontId="164" fillId="33" borderId="0" xfId="0" applyFont="1" applyFill="1" applyAlignment="1">
      <alignment/>
    </xf>
    <xf numFmtId="167" fontId="17" fillId="33" borderId="0" xfId="60" applyFont="1" applyFill="1" applyBorder="1" applyAlignment="1">
      <alignment/>
    </xf>
    <xf numFmtId="0" fontId="149" fillId="33" borderId="55" xfId="0" applyFont="1" applyFill="1" applyBorder="1" applyAlignment="1">
      <alignment vertical="center" wrapText="1"/>
    </xf>
    <xf numFmtId="4" fontId="13" fillId="33" borderId="19" xfId="0" applyNumberFormat="1" applyFont="1" applyFill="1" applyBorder="1" applyAlignment="1">
      <alignment horizontal="center" vertical="center"/>
    </xf>
    <xf numFmtId="4" fontId="132" fillId="33" borderId="62" xfId="0" applyNumberFormat="1" applyFont="1" applyFill="1" applyBorder="1" applyAlignment="1">
      <alignment horizontal="center" vertical="center" wrapText="1"/>
    </xf>
    <xf numFmtId="0" fontId="132" fillId="10" borderId="48" xfId="0" applyFont="1" applyFill="1" applyBorder="1" applyAlignment="1">
      <alignment horizontal="center" vertical="center" wrapText="1"/>
    </xf>
    <xf numFmtId="166" fontId="16" fillId="10" borderId="48" xfId="0" applyNumberFormat="1" applyFont="1" applyFill="1" applyBorder="1" applyAlignment="1">
      <alignment horizontal="center" vertical="center" wrapText="1"/>
    </xf>
    <xf numFmtId="4" fontId="16" fillId="10" borderId="49" xfId="0" applyNumberFormat="1" applyFont="1" applyFill="1" applyBorder="1" applyAlignment="1">
      <alignment horizontal="center" vertical="center"/>
    </xf>
    <xf numFmtId="4" fontId="16" fillId="10" borderId="15" xfId="0" applyNumberFormat="1" applyFont="1" applyFill="1" applyBorder="1" applyAlignment="1">
      <alignment horizontal="center" vertical="center"/>
    </xf>
    <xf numFmtId="1" fontId="132" fillId="33" borderId="59" xfId="0" applyNumberFormat="1" applyFont="1" applyFill="1" applyBorder="1" applyAlignment="1">
      <alignment horizontal="center" vertical="center" wrapText="1"/>
    </xf>
    <xf numFmtId="0" fontId="15" fillId="33" borderId="44" xfId="0" applyFont="1" applyFill="1" applyBorder="1" applyAlignment="1">
      <alignment horizontal="left" vertical="center" wrapText="1"/>
    </xf>
    <xf numFmtId="4" fontId="13" fillId="33" borderId="50" xfId="0" applyNumberFormat="1" applyFont="1" applyFill="1" applyBorder="1" applyAlignment="1">
      <alignment horizontal="center" vertical="center"/>
    </xf>
    <xf numFmtId="4" fontId="132" fillId="33" borderId="34" xfId="0" applyNumberFormat="1" applyFont="1" applyFill="1" applyBorder="1" applyAlignment="1">
      <alignment horizontal="center" vertical="center" wrapText="1"/>
    </xf>
    <xf numFmtId="1" fontId="139" fillId="10" borderId="43" xfId="0" applyNumberFormat="1" applyFont="1" applyFill="1" applyBorder="1" applyAlignment="1">
      <alignment horizontal="center" vertical="center" wrapText="1"/>
    </xf>
    <xf numFmtId="0" fontId="154" fillId="10" borderId="40" xfId="0" applyFont="1" applyFill="1" applyBorder="1" applyAlignment="1">
      <alignment horizontal="left" vertical="center" wrapText="1"/>
    </xf>
    <xf numFmtId="0" fontId="149" fillId="10" borderId="40" xfId="0" applyFont="1" applyFill="1" applyBorder="1" applyAlignment="1">
      <alignment horizontal="left" vertical="center" wrapText="1"/>
    </xf>
    <xf numFmtId="0" fontId="139" fillId="10" borderId="40" xfId="0" applyFont="1" applyFill="1" applyBorder="1" applyAlignment="1">
      <alignment horizontal="center" vertical="center" wrapText="1"/>
    </xf>
    <xf numFmtId="166" fontId="154" fillId="10" borderId="40" xfId="0" applyNumberFormat="1" applyFont="1" applyFill="1" applyBorder="1" applyAlignment="1">
      <alignment horizontal="center" vertical="center" wrapText="1"/>
    </xf>
    <xf numFmtId="4" fontId="154" fillId="10" borderId="41" xfId="0" applyNumberFormat="1" applyFont="1" applyFill="1" applyBorder="1" applyAlignment="1">
      <alignment horizontal="center" vertical="center" wrapText="1"/>
    </xf>
    <xf numFmtId="0" fontId="144" fillId="33" borderId="40" xfId="0" applyFont="1" applyFill="1" applyBorder="1" applyAlignment="1">
      <alignment horizontal="left" vertical="center" wrapText="1"/>
    </xf>
    <xf numFmtId="0" fontId="143" fillId="10" borderId="48" xfId="0" applyFont="1" applyFill="1" applyBorder="1" applyAlignment="1">
      <alignment horizontal="left" vertical="center" wrapText="1"/>
    </xf>
    <xf numFmtId="0" fontId="139" fillId="10" borderId="48" xfId="0" applyFont="1" applyFill="1" applyBorder="1" applyAlignment="1">
      <alignment horizontal="center" vertical="center"/>
    </xf>
    <xf numFmtId="166" fontId="154" fillId="10" borderId="48" xfId="0" applyNumberFormat="1" applyFont="1" applyFill="1" applyBorder="1" applyAlignment="1">
      <alignment horizontal="center" vertical="center"/>
    </xf>
    <xf numFmtId="4" fontId="154" fillId="10" borderId="49" xfId="0" applyNumberFormat="1" applyFont="1" applyFill="1" applyBorder="1" applyAlignment="1">
      <alignment horizontal="center" vertical="center"/>
    </xf>
    <xf numFmtId="4" fontId="154" fillId="10" borderId="15" xfId="0" applyNumberFormat="1" applyFont="1" applyFill="1" applyBorder="1" applyAlignment="1">
      <alignment horizontal="center" vertical="center"/>
    </xf>
    <xf numFmtId="1" fontId="154" fillId="33" borderId="59" xfId="0" applyNumberFormat="1" applyFont="1" applyFill="1" applyBorder="1" applyAlignment="1">
      <alignment vertical="center" wrapText="1"/>
    </xf>
    <xf numFmtId="0" fontId="154" fillId="33" borderId="44" xfId="0" applyFont="1" applyFill="1" applyBorder="1" applyAlignment="1">
      <alignment vertical="center" wrapText="1"/>
    </xf>
    <xf numFmtId="0" fontId="161" fillId="33" borderId="63" xfId="0" applyFont="1" applyFill="1" applyBorder="1" applyAlignment="1">
      <alignment horizontal="left" vertical="center" wrapText="1"/>
    </xf>
    <xf numFmtId="0" fontId="154" fillId="33" borderId="44" xfId="0" applyFont="1" applyFill="1" applyBorder="1" applyAlignment="1">
      <alignment horizontal="center" vertical="center"/>
    </xf>
    <xf numFmtId="166" fontId="154" fillId="33" borderId="44" xfId="0" applyNumberFormat="1" applyFont="1" applyFill="1" applyBorder="1" applyAlignment="1">
      <alignment horizontal="center" vertical="center"/>
    </xf>
    <xf numFmtId="4" fontId="154" fillId="33" borderId="50" xfId="0" applyNumberFormat="1" applyFont="1" applyFill="1" applyBorder="1" applyAlignment="1">
      <alignment horizontal="center" vertical="center"/>
    </xf>
    <xf numFmtId="4" fontId="154" fillId="33" borderId="15" xfId="0" applyNumberFormat="1" applyFont="1" applyFill="1" applyBorder="1" applyAlignment="1">
      <alignment horizontal="center" vertical="center"/>
    </xf>
    <xf numFmtId="4" fontId="90" fillId="33" borderId="17" xfId="0" applyNumberFormat="1" applyFont="1" applyFill="1" applyBorder="1" applyAlignment="1">
      <alignment vertical="center"/>
    </xf>
    <xf numFmtId="1" fontId="132" fillId="12" borderId="43" xfId="0" applyNumberFormat="1" applyFont="1" applyFill="1" applyBorder="1" applyAlignment="1">
      <alignment vertical="center" wrapText="1"/>
    </xf>
    <xf numFmtId="0" fontId="132" fillId="12" borderId="40" xfId="0" applyFont="1" applyFill="1" applyBorder="1" applyAlignment="1">
      <alignment vertical="center" wrapText="1"/>
    </xf>
    <xf numFmtId="0" fontId="132" fillId="12" borderId="40" xfId="0" applyFont="1" applyFill="1" applyBorder="1" applyAlignment="1">
      <alignment horizontal="center" vertical="center"/>
    </xf>
    <xf numFmtId="166" fontId="132" fillId="12" borderId="40" xfId="0" applyNumberFormat="1" applyFont="1" applyFill="1" applyBorder="1" applyAlignment="1">
      <alignment horizontal="center" vertical="center"/>
    </xf>
    <xf numFmtId="4" fontId="132" fillId="12" borderId="41" xfId="0" applyNumberFormat="1" applyFont="1" applyFill="1" applyBorder="1" applyAlignment="1">
      <alignment horizontal="center" vertical="center"/>
    </xf>
    <xf numFmtId="4" fontId="132" fillId="12" borderId="15" xfId="0" applyNumberFormat="1" applyFont="1" applyFill="1" applyBorder="1" applyAlignment="1">
      <alignment horizontal="center" vertical="center"/>
    </xf>
    <xf numFmtId="4" fontId="75" fillId="12" borderId="17" xfId="0" applyNumberFormat="1" applyFont="1" applyFill="1" applyBorder="1" applyAlignment="1">
      <alignment vertical="center"/>
    </xf>
    <xf numFmtId="1" fontId="132" fillId="33" borderId="43" xfId="0" applyNumberFormat="1" applyFont="1" applyFill="1" applyBorder="1" applyAlignment="1">
      <alignment vertical="center" wrapText="1"/>
    </xf>
    <xf numFmtId="0" fontId="132" fillId="33" borderId="40" xfId="0" applyFont="1" applyFill="1" applyBorder="1" applyAlignment="1">
      <alignment horizontal="center" vertical="center"/>
    </xf>
    <xf numFmtId="1" fontId="154" fillId="33" borderId="43" xfId="0" applyNumberFormat="1" applyFont="1" applyFill="1" applyBorder="1" applyAlignment="1">
      <alignment vertical="center" wrapText="1"/>
    </xf>
    <xf numFmtId="0" fontId="154" fillId="33" borderId="40" xfId="0" applyFont="1" applyFill="1" applyBorder="1" applyAlignment="1">
      <alignment vertical="center" wrapText="1"/>
    </xf>
    <xf numFmtId="0" fontId="161" fillId="33" borderId="40" xfId="0" applyFont="1" applyFill="1" applyBorder="1" applyAlignment="1">
      <alignment horizontal="left" vertical="center" wrapText="1"/>
    </xf>
    <xf numFmtId="0" fontId="154" fillId="33" borderId="40" xfId="0" applyFont="1" applyFill="1" applyBorder="1" applyAlignment="1">
      <alignment horizontal="center" vertical="center"/>
    </xf>
    <xf numFmtId="166" fontId="154" fillId="33" borderId="40" xfId="0" applyNumberFormat="1" applyFont="1" applyFill="1" applyBorder="1" applyAlignment="1">
      <alignment horizontal="center" vertical="center"/>
    </xf>
    <xf numFmtId="3" fontId="154" fillId="33" borderId="41" xfId="0" applyNumberFormat="1" applyFont="1" applyFill="1" applyBorder="1" applyAlignment="1">
      <alignment horizontal="center" vertical="center"/>
    </xf>
    <xf numFmtId="3" fontId="154" fillId="33" borderId="15" xfId="0" applyNumberFormat="1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left" vertical="center" wrapText="1"/>
    </xf>
    <xf numFmtId="1" fontId="154" fillId="33" borderId="43" xfId="0" applyNumberFormat="1" applyFont="1" applyFill="1" applyBorder="1" applyAlignment="1">
      <alignment horizontal="center" vertical="center" wrapText="1"/>
    </xf>
    <xf numFmtId="4" fontId="154" fillId="33" borderId="41" xfId="0" applyNumberFormat="1" applyFont="1" applyFill="1" applyBorder="1" applyAlignment="1">
      <alignment horizontal="center" vertical="center"/>
    </xf>
    <xf numFmtId="49" fontId="132" fillId="33" borderId="41" xfId="0" applyNumberFormat="1" applyFont="1" applyFill="1" applyBorder="1" applyAlignment="1">
      <alignment horizontal="center" vertical="center"/>
    </xf>
    <xf numFmtId="0" fontId="132" fillId="33" borderId="40" xfId="0" applyFont="1" applyFill="1" applyBorder="1" applyAlignment="1">
      <alignment horizontal="center"/>
    </xf>
    <xf numFmtId="166" fontId="132" fillId="33" borderId="40" xfId="0" applyNumberFormat="1" applyFont="1" applyFill="1" applyBorder="1" applyAlignment="1">
      <alignment/>
    </xf>
    <xf numFmtId="2" fontId="132" fillId="33" borderId="41" xfId="0" applyNumberFormat="1" applyFont="1" applyFill="1" applyBorder="1" applyAlignment="1">
      <alignment/>
    </xf>
    <xf numFmtId="1" fontId="132" fillId="7" borderId="43" xfId="0" applyNumberFormat="1" applyFont="1" applyFill="1" applyBorder="1" applyAlignment="1">
      <alignment horizontal="center" vertical="center" wrapText="1"/>
    </xf>
    <xf numFmtId="0" fontId="132" fillId="7" borderId="40" xfId="0" applyFont="1" applyFill="1" applyBorder="1" applyAlignment="1">
      <alignment horizontal="center" vertical="center"/>
    </xf>
    <xf numFmtId="1" fontId="132" fillId="7" borderId="45" xfId="0" applyNumberFormat="1" applyFont="1" applyFill="1" applyBorder="1" applyAlignment="1">
      <alignment horizontal="center" vertical="center" wrapText="1"/>
    </xf>
    <xf numFmtId="0" fontId="12" fillId="7" borderId="42" xfId="0" applyFont="1" applyFill="1" applyBorder="1" applyAlignment="1">
      <alignment horizontal="left" vertical="center" wrapText="1"/>
    </xf>
    <xf numFmtId="0" fontId="149" fillId="7" borderId="42" xfId="0" applyFont="1" applyFill="1" applyBorder="1" applyAlignment="1">
      <alignment horizontal="left" vertical="center" wrapText="1"/>
    </xf>
    <xf numFmtId="0" fontId="132" fillId="7" borderId="42" xfId="0" applyFont="1" applyFill="1" applyBorder="1" applyAlignment="1">
      <alignment horizontal="center" vertical="center"/>
    </xf>
    <xf numFmtId="2" fontId="65" fillId="10" borderId="17" xfId="0" applyNumberFormat="1" applyFont="1" applyFill="1" applyBorder="1" applyAlignment="1">
      <alignment vertical="center"/>
    </xf>
    <xf numFmtId="0" fontId="165" fillId="10" borderId="0" xfId="0" applyFont="1" applyFill="1" applyAlignment="1">
      <alignment/>
    </xf>
    <xf numFmtId="0" fontId="144" fillId="33" borderId="44" xfId="0" applyFont="1" applyFill="1" applyBorder="1" applyAlignment="1">
      <alignment horizontal="left" vertical="center" wrapText="1"/>
    </xf>
    <xf numFmtId="0" fontId="132" fillId="33" borderId="44" xfId="0" applyFont="1" applyFill="1" applyBorder="1" applyAlignment="1">
      <alignment horizontal="center" vertical="center"/>
    </xf>
    <xf numFmtId="166" fontId="132" fillId="33" borderId="44" xfId="0" applyNumberFormat="1" applyFont="1" applyFill="1" applyBorder="1" applyAlignment="1">
      <alignment horizontal="center" vertical="center"/>
    </xf>
    <xf numFmtId="2" fontId="65" fillId="33" borderId="17" xfId="0" applyNumberFormat="1" applyFont="1" applyFill="1" applyBorder="1" applyAlignment="1">
      <alignment vertical="center"/>
    </xf>
    <xf numFmtId="0" fontId="165" fillId="33" borderId="0" xfId="0" applyFont="1" applyFill="1" applyAlignment="1">
      <alignment/>
    </xf>
    <xf numFmtId="0" fontId="154" fillId="7" borderId="40" xfId="0" applyFont="1" applyFill="1" applyBorder="1" applyAlignment="1">
      <alignment horizontal="left" vertical="center" wrapText="1"/>
    </xf>
    <xf numFmtId="0" fontId="154" fillId="7" borderId="42" xfId="0" applyFont="1" applyFill="1" applyBorder="1" applyAlignment="1">
      <alignment horizontal="left" vertical="center" wrapText="1"/>
    </xf>
    <xf numFmtId="1" fontId="9" fillId="33" borderId="59" xfId="0" applyNumberFormat="1" applyFont="1" applyFill="1" applyBorder="1" applyAlignment="1">
      <alignment horizontal="center" vertical="center" wrapText="1"/>
    </xf>
    <xf numFmtId="168" fontId="154" fillId="33" borderId="50" xfId="0" applyNumberFormat="1" applyFont="1" applyFill="1" applyBorder="1" applyAlignment="1">
      <alignment horizontal="center" vertical="center" wrapText="1"/>
    </xf>
    <xf numFmtId="168" fontId="154" fillId="33" borderId="15" xfId="0" applyNumberFormat="1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left" vertical="center" wrapText="1"/>
    </xf>
    <xf numFmtId="166" fontId="132" fillId="33" borderId="42" xfId="0" applyNumberFormat="1" applyFont="1" applyFill="1" applyBorder="1" applyAlignment="1">
      <alignment horizontal="center" vertical="center" wrapText="1" shrinkToFit="1"/>
    </xf>
    <xf numFmtId="4" fontId="64" fillId="33" borderId="17" xfId="0" applyNumberFormat="1" applyFont="1" applyFill="1" applyBorder="1" applyAlignment="1">
      <alignment vertical="center"/>
    </xf>
    <xf numFmtId="0" fontId="159" fillId="33" borderId="0" xfId="0" applyFont="1" applyFill="1" applyAlignment="1">
      <alignment/>
    </xf>
    <xf numFmtId="1" fontId="154" fillId="33" borderId="43" xfId="0" applyNumberFormat="1" applyFont="1" applyFill="1" applyBorder="1" applyAlignment="1">
      <alignment horizontal="center" vertical="center"/>
    </xf>
    <xf numFmtId="166" fontId="154" fillId="33" borderId="40" xfId="0" applyNumberFormat="1" applyFont="1" applyFill="1" applyBorder="1" applyAlignment="1">
      <alignment horizontal="center" vertical="center" wrapText="1" shrinkToFit="1"/>
    </xf>
    <xf numFmtId="0" fontId="6" fillId="33" borderId="40" xfId="0" applyFont="1" applyFill="1" applyBorder="1" applyAlignment="1">
      <alignment vertical="center" wrapText="1"/>
    </xf>
    <xf numFmtId="166" fontId="5" fillId="33" borderId="40" xfId="0" applyNumberFormat="1" applyFont="1" applyFill="1" applyBorder="1" applyAlignment="1">
      <alignment horizontal="center" vertical="center" wrapText="1" shrinkToFit="1"/>
    </xf>
    <xf numFmtId="0" fontId="18" fillId="33" borderId="40" xfId="0" applyFont="1" applyFill="1" applyBorder="1" applyAlignment="1">
      <alignment vertical="center" wrapText="1"/>
    </xf>
    <xf numFmtId="0" fontId="11" fillId="33" borderId="40" xfId="0" applyFont="1" applyFill="1" applyBorder="1" applyAlignment="1">
      <alignment horizontal="center" vertical="center" wrapText="1"/>
    </xf>
    <xf numFmtId="166" fontId="11" fillId="33" borderId="40" xfId="0" applyNumberFormat="1" applyFont="1" applyFill="1" applyBorder="1" applyAlignment="1">
      <alignment horizontal="center" vertical="center" wrapText="1" shrinkToFit="1"/>
    </xf>
    <xf numFmtId="4" fontId="11" fillId="33" borderId="41" xfId="0" applyNumberFormat="1" applyFont="1" applyFill="1" applyBorder="1" applyAlignment="1">
      <alignment horizontal="center" vertical="center"/>
    </xf>
    <xf numFmtId="4" fontId="11" fillId="33" borderId="15" xfId="0" applyNumberFormat="1" applyFont="1" applyFill="1" applyBorder="1" applyAlignment="1">
      <alignment horizontal="center" vertical="center"/>
    </xf>
    <xf numFmtId="167" fontId="19" fillId="33" borderId="0" xfId="6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18" xfId="0" applyFont="1" applyFill="1" applyBorder="1" applyAlignment="1">
      <alignment horizontal="center"/>
    </xf>
    <xf numFmtId="167" fontId="20" fillId="33" borderId="0" xfId="6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3" borderId="18" xfId="0" applyFont="1" applyFill="1" applyBorder="1" applyAlignment="1">
      <alignment horizontal="center"/>
    </xf>
    <xf numFmtId="170" fontId="166" fillId="33" borderId="17" xfId="0" applyNumberFormat="1" applyFont="1" applyFill="1" applyBorder="1" applyAlignment="1">
      <alignment/>
    </xf>
    <xf numFmtId="0" fontId="154" fillId="7" borderId="40" xfId="0" applyFont="1" applyFill="1" applyBorder="1" applyAlignment="1">
      <alignment horizontal="left" vertical="center"/>
    </xf>
    <xf numFmtId="166" fontId="132" fillId="7" borderId="40" xfId="0" applyNumberFormat="1" applyFont="1" applyFill="1" applyBorder="1" applyAlignment="1">
      <alignment horizontal="center" vertical="center" wrapText="1" shrinkToFit="1"/>
    </xf>
    <xf numFmtId="167" fontId="20" fillId="0" borderId="0" xfId="6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8" xfId="0" applyFont="1" applyBorder="1" applyAlignment="1">
      <alignment horizontal="center"/>
    </xf>
    <xf numFmtId="0" fontId="154" fillId="7" borderId="42" xfId="0" applyFont="1" applyFill="1" applyBorder="1" applyAlignment="1">
      <alignment horizontal="left" vertical="center"/>
    </xf>
    <xf numFmtId="166" fontId="132" fillId="7" borderId="42" xfId="0" applyNumberFormat="1" applyFont="1" applyFill="1" applyBorder="1" applyAlignment="1">
      <alignment horizontal="center" vertical="center" wrapText="1" shrinkToFit="1"/>
    </xf>
    <xf numFmtId="167" fontId="20" fillId="10" borderId="0" xfId="60" applyFont="1" applyFill="1" applyBorder="1" applyAlignment="1">
      <alignment horizontal="center"/>
    </xf>
    <xf numFmtId="0" fontId="20" fillId="10" borderId="0" xfId="0" applyFont="1" applyFill="1" applyAlignment="1">
      <alignment horizontal="center"/>
    </xf>
    <xf numFmtId="0" fontId="20" fillId="10" borderId="18" xfId="0" applyFont="1" applyFill="1" applyBorder="1" applyAlignment="1">
      <alignment horizontal="center"/>
    </xf>
    <xf numFmtId="0" fontId="15" fillId="33" borderId="63" xfId="0" applyFont="1" applyFill="1" applyBorder="1" applyAlignment="1">
      <alignment horizontal="left" vertical="center"/>
    </xf>
    <xf numFmtId="0" fontId="149" fillId="33" borderId="63" xfId="0" applyFont="1" applyFill="1" applyBorder="1" applyAlignment="1">
      <alignment horizontal="left" vertical="center" wrapText="1"/>
    </xf>
    <xf numFmtId="166" fontId="132" fillId="33" borderId="63" xfId="0" applyNumberFormat="1" applyFont="1" applyFill="1" applyBorder="1" applyAlignment="1">
      <alignment horizontal="center" vertical="center" wrapText="1" shrinkToFit="1"/>
    </xf>
    <xf numFmtId="4" fontId="132" fillId="33" borderId="66" xfId="0" applyNumberFormat="1" applyFont="1" applyFill="1" applyBorder="1" applyAlignment="1">
      <alignment horizontal="center" vertical="center"/>
    </xf>
    <xf numFmtId="4" fontId="132" fillId="33" borderId="29" xfId="0" applyNumberFormat="1" applyFont="1" applyFill="1" applyBorder="1" applyAlignment="1">
      <alignment horizontal="center" vertical="center"/>
    </xf>
    <xf numFmtId="4" fontId="132" fillId="33" borderId="64" xfId="0" applyNumberFormat="1" applyFont="1" applyFill="1" applyBorder="1" applyAlignment="1">
      <alignment horizontal="center" vertical="center"/>
    </xf>
    <xf numFmtId="0" fontId="144" fillId="33" borderId="40" xfId="0" applyFont="1" applyFill="1" applyBorder="1" applyAlignment="1">
      <alignment horizontal="left" vertical="center"/>
    </xf>
    <xf numFmtId="4" fontId="132" fillId="33" borderId="56" xfId="0" applyNumberFormat="1" applyFont="1" applyFill="1" applyBorder="1" applyAlignment="1">
      <alignment horizontal="center" vertical="center"/>
    </xf>
    <xf numFmtId="4" fontId="132" fillId="33" borderId="31" xfId="0" applyNumberFormat="1" applyFont="1" applyFill="1" applyBorder="1" applyAlignment="1">
      <alignment horizontal="center" vertical="center"/>
    </xf>
    <xf numFmtId="1" fontId="139" fillId="33" borderId="51" xfId="0" applyNumberFormat="1" applyFont="1" applyFill="1" applyBorder="1" applyAlignment="1">
      <alignment horizontal="center" vertical="center"/>
    </xf>
    <xf numFmtId="0" fontId="154" fillId="33" borderId="56" xfId="0" applyFont="1" applyFill="1" applyBorder="1" applyAlignment="1">
      <alignment horizontal="left" vertical="center"/>
    </xf>
    <xf numFmtId="0" fontId="21" fillId="33" borderId="40" xfId="0" applyFont="1" applyFill="1" applyBorder="1" applyAlignment="1">
      <alignment horizontal="center"/>
    </xf>
    <xf numFmtId="0" fontId="139" fillId="33" borderId="53" xfId="0" applyFont="1" applyFill="1" applyBorder="1" applyAlignment="1">
      <alignment horizontal="center" vertical="center" wrapText="1"/>
    </xf>
    <xf numFmtId="166" fontId="139" fillId="33" borderId="40" xfId="0" applyNumberFormat="1" applyFont="1" applyFill="1" applyBorder="1" applyAlignment="1">
      <alignment horizontal="center" vertical="center" wrapText="1" shrinkToFit="1"/>
    </xf>
    <xf numFmtId="4" fontId="139" fillId="33" borderId="56" xfId="0" applyNumberFormat="1" applyFont="1" applyFill="1" applyBorder="1" applyAlignment="1">
      <alignment horizontal="center" vertical="center"/>
    </xf>
    <xf numFmtId="4" fontId="139" fillId="33" borderId="31" xfId="0" applyNumberFormat="1" applyFont="1" applyFill="1" applyBorder="1" applyAlignment="1">
      <alignment horizontal="center" vertical="center"/>
    </xf>
    <xf numFmtId="4" fontId="139" fillId="33" borderId="41" xfId="0" applyNumberFormat="1" applyFont="1" applyFill="1" applyBorder="1" applyAlignment="1">
      <alignment horizontal="center" vertical="center"/>
    </xf>
    <xf numFmtId="4" fontId="139" fillId="33" borderId="15" xfId="0" applyNumberFormat="1" applyFont="1" applyFill="1" applyBorder="1" applyAlignment="1">
      <alignment horizontal="center" vertical="center"/>
    </xf>
    <xf numFmtId="167" fontId="21" fillId="33" borderId="0" xfId="6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144" fillId="33" borderId="55" xfId="0" applyFont="1" applyFill="1" applyBorder="1" applyAlignment="1">
      <alignment horizontal="left" vertical="center"/>
    </xf>
    <xf numFmtId="166" fontId="132" fillId="33" borderId="55" xfId="0" applyNumberFormat="1" applyFont="1" applyFill="1" applyBorder="1" applyAlignment="1">
      <alignment horizontal="center" vertical="center" wrapText="1" shrinkToFit="1"/>
    </xf>
    <xf numFmtId="4" fontId="132" fillId="33" borderId="57" xfId="0" applyNumberFormat="1" applyFont="1" applyFill="1" applyBorder="1" applyAlignment="1">
      <alignment horizontal="center" vertical="center"/>
    </xf>
    <xf numFmtId="0" fontId="154" fillId="33" borderId="40" xfId="0" applyFont="1" applyFill="1" applyBorder="1" applyAlignment="1">
      <alignment horizontal="left" vertical="center"/>
    </xf>
    <xf numFmtId="4" fontId="132" fillId="33" borderId="0" xfId="0" applyNumberFormat="1" applyFont="1" applyFill="1" applyAlignment="1">
      <alignment horizontal="center" vertical="center"/>
    </xf>
    <xf numFmtId="4" fontId="132" fillId="33" borderId="62" xfId="0" applyNumberFormat="1" applyFont="1" applyFill="1" applyBorder="1" applyAlignment="1">
      <alignment horizontal="center" vertical="center"/>
    </xf>
    <xf numFmtId="166" fontId="154" fillId="10" borderId="49" xfId="0" applyNumberFormat="1" applyFont="1" applyFill="1" applyBorder="1" applyAlignment="1">
      <alignment horizontal="center" vertical="center" wrapText="1"/>
    </xf>
    <xf numFmtId="166" fontId="154" fillId="10" borderId="15" xfId="0" applyNumberFormat="1" applyFont="1" applyFill="1" applyBorder="1" applyAlignment="1">
      <alignment horizontal="center" vertical="center" wrapText="1"/>
    </xf>
    <xf numFmtId="1" fontId="9" fillId="33" borderId="51" xfId="0" applyNumberFormat="1" applyFont="1" applyFill="1" applyBorder="1" applyAlignment="1">
      <alignment horizontal="center" vertical="center" wrapText="1"/>
    </xf>
    <xf numFmtId="4" fontId="154" fillId="33" borderId="50" xfId="0" applyNumberFormat="1" applyFont="1" applyFill="1" applyBorder="1" applyAlignment="1">
      <alignment horizontal="center" vertical="center" wrapText="1"/>
    </xf>
    <xf numFmtId="1" fontId="9" fillId="7" borderId="51" xfId="0" applyNumberFormat="1" applyFont="1" applyFill="1" applyBorder="1" applyAlignment="1">
      <alignment horizontal="center" vertical="center" wrapText="1"/>
    </xf>
    <xf numFmtId="0" fontId="149" fillId="7" borderId="40" xfId="0" applyFont="1" applyFill="1" applyBorder="1" applyAlignment="1">
      <alignment horizontal="center" vertical="center" wrapText="1"/>
    </xf>
    <xf numFmtId="4" fontId="132" fillId="7" borderId="41" xfId="0" applyNumberFormat="1" applyFont="1" applyFill="1" applyBorder="1" applyAlignment="1">
      <alignment horizontal="center" vertical="center" wrapText="1"/>
    </xf>
    <xf numFmtId="4" fontId="132" fillId="7" borderId="15" xfId="0" applyNumberFormat="1" applyFont="1" applyFill="1" applyBorder="1" applyAlignment="1">
      <alignment horizontal="center" vertical="center" wrapText="1"/>
    </xf>
    <xf numFmtId="0" fontId="65" fillId="7" borderId="17" xfId="0" applyFont="1" applyFill="1" applyBorder="1" applyAlignment="1">
      <alignment vertical="center"/>
    </xf>
    <xf numFmtId="4" fontId="75" fillId="7" borderId="17" xfId="0" applyNumberFormat="1" applyFont="1" applyFill="1" applyBorder="1" applyAlignment="1">
      <alignment vertical="center"/>
    </xf>
    <xf numFmtId="4" fontId="67" fillId="7" borderId="17" xfId="0" applyNumberFormat="1" applyFont="1" applyFill="1" applyBorder="1" applyAlignment="1">
      <alignment vertical="center"/>
    </xf>
    <xf numFmtId="167" fontId="67" fillId="7" borderId="17" xfId="60" applyFont="1" applyFill="1" applyBorder="1" applyAlignment="1">
      <alignment vertical="center"/>
    </xf>
    <xf numFmtId="4" fontId="67" fillId="7" borderId="17" xfId="0" applyNumberFormat="1" applyFont="1" applyFill="1" applyBorder="1" applyAlignment="1">
      <alignment/>
    </xf>
    <xf numFmtId="4" fontId="157" fillId="7" borderId="0" xfId="0" applyNumberFormat="1" applyFont="1" applyFill="1" applyAlignment="1">
      <alignment horizontal="center" vertical="center"/>
    </xf>
    <xf numFmtId="167" fontId="20" fillId="7" borderId="0" xfId="60" applyFont="1" applyFill="1" applyBorder="1" applyAlignment="1">
      <alignment horizontal="center"/>
    </xf>
    <xf numFmtId="0" fontId="20" fillId="7" borderId="0" xfId="0" applyFont="1" applyFill="1" applyAlignment="1">
      <alignment horizontal="center"/>
    </xf>
    <xf numFmtId="0" fontId="20" fillId="7" borderId="18" xfId="0" applyFont="1" applyFill="1" applyBorder="1" applyAlignment="1">
      <alignment horizontal="center"/>
    </xf>
    <xf numFmtId="1" fontId="132" fillId="7" borderId="51" xfId="0" applyNumberFormat="1" applyFont="1" applyFill="1" applyBorder="1" applyAlignment="1">
      <alignment horizontal="center" vertical="center"/>
    </xf>
    <xf numFmtId="0" fontId="22" fillId="7" borderId="55" xfId="0" applyFont="1" applyFill="1" applyBorder="1" applyAlignment="1">
      <alignment horizontal="left" vertical="center"/>
    </xf>
    <xf numFmtId="0" fontId="149" fillId="7" borderId="55" xfId="0" applyFont="1" applyFill="1" applyBorder="1" applyAlignment="1">
      <alignment horizontal="left" vertical="center" wrapText="1"/>
    </xf>
    <xf numFmtId="0" fontId="132" fillId="7" borderId="55" xfId="0" applyFont="1" applyFill="1" applyBorder="1" applyAlignment="1">
      <alignment horizontal="center" vertical="center" wrapText="1"/>
    </xf>
    <xf numFmtId="166" fontId="132" fillId="7" borderId="55" xfId="0" applyNumberFormat="1" applyFont="1" applyFill="1" applyBorder="1" applyAlignment="1">
      <alignment horizontal="center" vertical="center" wrapText="1" shrinkToFit="1"/>
    </xf>
    <xf numFmtId="4" fontId="132" fillId="7" borderId="58" xfId="0" applyNumberFormat="1" applyFont="1" applyFill="1" applyBorder="1" applyAlignment="1">
      <alignment horizontal="center" vertical="center"/>
    </xf>
    <xf numFmtId="4" fontId="132" fillId="33" borderId="50" xfId="0" applyNumberFormat="1" applyFont="1" applyFill="1" applyBorder="1" applyAlignment="1">
      <alignment horizontal="center" wrapText="1"/>
    </xf>
    <xf numFmtId="4" fontId="132" fillId="33" borderId="15" xfId="0" applyNumberFormat="1" applyFont="1" applyFill="1" applyBorder="1" applyAlignment="1">
      <alignment horizontal="center" wrapText="1"/>
    </xf>
    <xf numFmtId="4" fontId="132" fillId="33" borderId="41" xfId="62" applyNumberFormat="1" applyFont="1" applyFill="1" applyBorder="1" applyAlignment="1">
      <alignment horizontal="center" vertical="center" wrapText="1"/>
    </xf>
    <xf numFmtId="4" fontId="132" fillId="33" borderId="15" xfId="62" applyNumberFormat="1" applyFont="1" applyFill="1" applyBorder="1" applyAlignment="1">
      <alignment horizontal="center" vertical="center" wrapText="1"/>
    </xf>
    <xf numFmtId="1" fontId="132" fillId="13" borderId="43" xfId="0" applyNumberFormat="1" applyFont="1" applyFill="1" applyBorder="1" applyAlignment="1">
      <alignment horizontal="center" vertical="center" wrapText="1"/>
    </xf>
    <xf numFmtId="0" fontId="132" fillId="13" borderId="40" xfId="0" applyFont="1" applyFill="1" applyBorder="1" applyAlignment="1">
      <alignment horizontal="left" vertical="center" wrapText="1"/>
    </xf>
    <xf numFmtId="0" fontId="149" fillId="13" borderId="40" xfId="0" applyFont="1" applyFill="1" applyBorder="1" applyAlignment="1">
      <alignment horizontal="left" vertical="center" wrapText="1"/>
    </xf>
    <xf numFmtId="166" fontId="132" fillId="13" borderId="40" xfId="0" applyNumberFormat="1" applyFont="1" applyFill="1" applyBorder="1" applyAlignment="1">
      <alignment horizontal="center" vertical="center" wrapText="1"/>
    </xf>
    <xf numFmtId="4" fontId="132" fillId="13" borderId="41" xfId="62" applyNumberFormat="1" applyFont="1" applyFill="1" applyBorder="1" applyAlignment="1">
      <alignment horizontal="center" vertical="center" wrapText="1"/>
    </xf>
    <xf numFmtId="4" fontId="132" fillId="13" borderId="15" xfId="62" applyNumberFormat="1" applyFont="1" applyFill="1" applyBorder="1" applyAlignment="1">
      <alignment horizontal="center" vertical="center" wrapText="1"/>
    </xf>
    <xf numFmtId="4" fontId="134" fillId="13" borderId="15" xfId="0" applyNumberFormat="1" applyFont="1" applyFill="1" applyBorder="1" applyAlignment="1">
      <alignment horizontal="center" vertical="center"/>
    </xf>
    <xf numFmtId="4" fontId="136" fillId="13" borderId="16" xfId="0" applyNumberFormat="1" applyFont="1" applyFill="1" applyBorder="1" applyAlignment="1">
      <alignment vertical="center"/>
    </xf>
    <xf numFmtId="0" fontId="65" fillId="13" borderId="17" xfId="0" applyFont="1" applyFill="1" applyBorder="1" applyAlignment="1">
      <alignment vertical="center"/>
    </xf>
    <xf numFmtId="4" fontId="75" fillId="13" borderId="17" xfId="0" applyNumberFormat="1" applyFont="1" applyFill="1" applyBorder="1" applyAlignment="1">
      <alignment vertical="center"/>
    </xf>
    <xf numFmtId="4" fontId="67" fillId="13" borderId="17" xfId="0" applyNumberFormat="1" applyFont="1" applyFill="1" applyBorder="1" applyAlignment="1">
      <alignment vertical="center"/>
    </xf>
    <xf numFmtId="167" fontId="67" fillId="13" borderId="17" xfId="60" applyFont="1" applyFill="1" applyBorder="1" applyAlignment="1">
      <alignment vertical="center"/>
    </xf>
    <xf numFmtId="4" fontId="67" fillId="13" borderId="17" xfId="0" applyNumberFormat="1" applyFont="1" applyFill="1" applyBorder="1" applyAlignment="1">
      <alignment/>
    </xf>
    <xf numFmtId="0" fontId="67" fillId="13" borderId="0" xfId="0" applyFont="1" applyFill="1" applyAlignment="1">
      <alignment/>
    </xf>
    <xf numFmtId="0" fontId="67" fillId="13" borderId="17" xfId="0" applyFont="1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0" xfId="0" applyFill="1" applyAlignment="1">
      <alignment/>
    </xf>
    <xf numFmtId="167" fontId="49" fillId="13" borderId="17" xfId="62" applyFont="1" applyFill="1" applyBorder="1" applyAlignment="1">
      <alignment vertical="center"/>
    </xf>
    <xf numFmtId="0" fontId="157" fillId="13" borderId="15" xfId="0" applyFont="1" applyFill="1" applyBorder="1" applyAlignment="1">
      <alignment vertical="center"/>
    </xf>
    <xf numFmtId="0" fontId="157" fillId="13" borderId="0" xfId="0" applyFont="1" applyFill="1" applyAlignment="1">
      <alignment horizontal="center" vertical="center"/>
    </xf>
    <xf numFmtId="0" fontId="157" fillId="13" borderId="18" xfId="0" applyFont="1" applyFill="1" applyBorder="1" applyAlignment="1">
      <alignment horizontal="center" vertical="center"/>
    </xf>
    <xf numFmtId="0" fontId="157" fillId="13" borderId="0" xfId="0" applyFont="1" applyFill="1" applyAlignment="1">
      <alignment vertical="center"/>
    </xf>
    <xf numFmtId="0" fontId="157" fillId="13" borderId="16" xfId="0" applyFont="1" applyFill="1" applyBorder="1" applyAlignment="1">
      <alignment vertical="center"/>
    </xf>
    <xf numFmtId="0" fontId="157" fillId="13" borderId="18" xfId="0" applyFont="1" applyFill="1" applyBorder="1" applyAlignment="1">
      <alignment vertical="center"/>
    </xf>
    <xf numFmtId="0" fontId="158" fillId="13" borderId="0" xfId="0" applyFont="1" applyFill="1" applyAlignment="1">
      <alignment/>
    </xf>
    <xf numFmtId="167" fontId="20" fillId="13" borderId="0" xfId="60" applyFont="1" applyFill="1" applyBorder="1" applyAlignment="1">
      <alignment horizontal="center"/>
    </xf>
    <xf numFmtId="0" fontId="20" fillId="13" borderId="0" xfId="0" applyFont="1" applyFill="1" applyAlignment="1">
      <alignment horizontal="center"/>
    </xf>
    <xf numFmtId="0" fontId="20" fillId="13" borderId="18" xfId="0" applyFont="1" applyFill="1" applyBorder="1" applyAlignment="1">
      <alignment horizontal="center"/>
    </xf>
    <xf numFmtId="1" fontId="154" fillId="13" borderId="43" xfId="0" applyNumberFormat="1" applyFont="1" applyFill="1" applyBorder="1" applyAlignment="1">
      <alignment horizontal="center" vertical="center" wrapText="1"/>
    </xf>
    <xf numFmtId="0" fontId="154" fillId="13" borderId="40" xfId="0" applyFont="1" applyFill="1" applyBorder="1" applyAlignment="1">
      <alignment horizontal="left" vertical="center" wrapText="1"/>
    </xf>
    <xf numFmtId="0" fontId="161" fillId="13" borderId="40" xfId="0" applyFont="1" applyFill="1" applyBorder="1" applyAlignment="1">
      <alignment horizontal="left" vertical="center" wrapText="1"/>
    </xf>
    <xf numFmtId="0" fontId="154" fillId="13" borderId="40" xfId="0" applyFont="1" applyFill="1" applyBorder="1" applyAlignment="1">
      <alignment horizontal="center" vertical="center" wrapText="1"/>
    </xf>
    <xf numFmtId="166" fontId="154" fillId="13" borderId="40" xfId="0" applyNumberFormat="1" applyFont="1" applyFill="1" applyBorder="1" applyAlignment="1">
      <alignment horizontal="center" vertical="center" wrapText="1"/>
    </xf>
    <xf numFmtId="4" fontId="154" fillId="13" borderId="41" xfId="62" applyNumberFormat="1" applyFont="1" applyFill="1" applyBorder="1" applyAlignment="1">
      <alignment horizontal="center" vertical="center" wrapText="1"/>
    </xf>
    <xf numFmtId="4" fontId="154" fillId="13" borderId="15" xfId="62" applyNumberFormat="1" applyFont="1" applyFill="1" applyBorder="1" applyAlignment="1">
      <alignment horizontal="center" vertical="center" wrapText="1"/>
    </xf>
    <xf numFmtId="0" fontId="84" fillId="13" borderId="17" xfId="0" applyFont="1" applyFill="1" applyBorder="1" applyAlignment="1">
      <alignment vertical="center"/>
    </xf>
    <xf numFmtId="4" fontId="90" fillId="13" borderId="17" xfId="0" applyNumberFormat="1" applyFont="1" applyFill="1" applyBorder="1" applyAlignment="1">
      <alignment vertical="center"/>
    </xf>
    <xf numFmtId="4" fontId="85" fillId="13" borderId="17" xfId="0" applyNumberFormat="1" applyFont="1" applyFill="1" applyBorder="1" applyAlignment="1">
      <alignment vertical="center"/>
    </xf>
    <xf numFmtId="167" fontId="85" fillId="13" borderId="17" xfId="60" applyFont="1" applyFill="1" applyBorder="1" applyAlignment="1">
      <alignment vertical="center"/>
    </xf>
    <xf numFmtId="4" fontId="85" fillId="13" borderId="17" xfId="0" applyNumberFormat="1" applyFont="1" applyFill="1" applyBorder="1" applyAlignment="1">
      <alignment/>
    </xf>
    <xf numFmtId="0" fontId="85" fillId="13" borderId="0" xfId="0" applyFont="1" applyFill="1" applyAlignment="1">
      <alignment/>
    </xf>
    <xf numFmtId="0" fontId="85" fillId="13" borderId="17" xfId="0" applyFont="1" applyFill="1" applyBorder="1" applyAlignment="1">
      <alignment/>
    </xf>
    <xf numFmtId="0" fontId="17" fillId="13" borderId="17" xfId="0" applyFont="1" applyFill="1" applyBorder="1" applyAlignment="1">
      <alignment/>
    </xf>
    <xf numFmtId="0" fontId="17" fillId="13" borderId="0" xfId="0" applyFont="1" applyFill="1" applyAlignment="1">
      <alignment/>
    </xf>
    <xf numFmtId="167" fontId="87" fillId="13" borderId="17" xfId="62" applyFont="1" applyFill="1" applyBorder="1" applyAlignment="1">
      <alignment vertical="center"/>
    </xf>
    <xf numFmtId="0" fontId="163" fillId="13" borderId="15" xfId="0" applyFont="1" applyFill="1" applyBorder="1" applyAlignment="1">
      <alignment vertical="center"/>
    </xf>
    <xf numFmtId="0" fontId="163" fillId="13" borderId="0" xfId="0" applyFont="1" applyFill="1" applyAlignment="1">
      <alignment horizontal="center" vertical="center"/>
    </xf>
    <xf numFmtId="0" fontId="163" fillId="13" borderId="18" xfId="0" applyFont="1" applyFill="1" applyBorder="1" applyAlignment="1">
      <alignment horizontal="center" vertical="center"/>
    </xf>
    <xf numFmtId="0" fontId="163" fillId="13" borderId="0" xfId="0" applyFont="1" applyFill="1" applyAlignment="1">
      <alignment vertical="center"/>
    </xf>
    <xf numFmtId="0" fontId="163" fillId="13" borderId="16" xfId="0" applyFont="1" applyFill="1" applyBorder="1" applyAlignment="1">
      <alignment vertical="center"/>
    </xf>
    <xf numFmtId="0" fontId="163" fillId="13" borderId="18" xfId="0" applyFont="1" applyFill="1" applyBorder="1" applyAlignment="1">
      <alignment vertical="center"/>
    </xf>
    <xf numFmtId="0" fontId="164" fillId="13" borderId="0" xfId="0" applyFont="1" applyFill="1" applyAlignment="1">
      <alignment/>
    </xf>
    <xf numFmtId="167" fontId="19" fillId="13" borderId="0" xfId="60" applyFont="1" applyFill="1" applyBorder="1" applyAlignment="1">
      <alignment horizontal="center"/>
    </xf>
    <xf numFmtId="0" fontId="19" fillId="13" borderId="0" xfId="0" applyFont="1" applyFill="1" applyAlignment="1">
      <alignment horizontal="center"/>
    </xf>
    <xf numFmtId="0" fontId="19" fillId="13" borderId="18" xfId="0" applyFont="1" applyFill="1" applyBorder="1" applyAlignment="1">
      <alignment horizontal="center"/>
    </xf>
    <xf numFmtId="166" fontId="5" fillId="13" borderId="40" xfId="0" applyNumberFormat="1" applyFont="1" applyFill="1" applyBorder="1" applyAlignment="1">
      <alignment horizontal="center" vertical="center" wrapText="1"/>
    </xf>
    <xf numFmtId="4" fontId="5" fillId="13" borderId="41" xfId="62" applyNumberFormat="1" applyFont="1" applyFill="1" applyBorder="1" applyAlignment="1">
      <alignment horizontal="center" vertical="center" wrapText="1"/>
    </xf>
    <xf numFmtId="4" fontId="5" fillId="13" borderId="15" xfId="62" applyNumberFormat="1" applyFont="1" applyFill="1" applyBorder="1" applyAlignment="1">
      <alignment horizontal="center" vertical="center" wrapText="1"/>
    </xf>
    <xf numFmtId="0" fontId="15" fillId="33" borderId="40" xfId="0" applyFont="1" applyFill="1" applyBorder="1" applyAlignment="1">
      <alignment horizontal="left" vertical="center" wrapText="1"/>
    </xf>
    <xf numFmtId="4" fontId="5" fillId="33" borderId="41" xfId="62" applyNumberFormat="1" applyFont="1" applyFill="1" applyBorder="1" applyAlignment="1">
      <alignment horizontal="center" vertical="center" wrapText="1"/>
    </xf>
    <xf numFmtId="4" fontId="5" fillId="33" borderId="15" xfId="62" applyNumberFormat="1" applyFont="1" applyFill="1" applyBorder="1" applyAlignment="1">
      <alignment horizontal="center" vertical="center" wrapText="1"/>
    </xf>
    <xf numFmtId="0" fontId="132" fillId="7" borderId="42" xfId="0" applyFont="1" applyFill="1" applyBorder="1" applyAlignment="1">
      <alignment horizontal="right" vertical="center" wrapText="1"/>
    </xf>
    <xf numFmtId="166" fontId="132" fillId="7" borderId="42" xfId="0" applyNumberFormat="1" applyFont="1" applyFill="1" applyBorder="1" applyAlignment="1">
      <alignment horizontal="right" vertical="center" wrapText="1"/>
    </xf>
    <xf numFmtId="4" fontId="75" fillId="33" borderId="17" xfId="0" applyNumberFormat="1" applyFont="1" applyFill="1" applyBorder="1" applyAlignment="1">
      <alignment horizontal="right" vertical="center"/>
    </xf>
    <xf numFmtId="4" fontId="67" fillId="33" borderId="17" xfId="0" applyNumberFormat="1" applyFont="1" applyFill="1" applyBorder="1" applyAlignment="1">
      <alignment horizontal="right" vertical="center"/>
    </xf>
    <xf numFmtId="167" fontId="67" fillId="33" borderId="17" xfId="60" applyFont="1" applyFill="1" applyBorder="1" applyAlignment="1">
      <alignment horizontal="right" vertical="center"/>
    </xf>
    <xf numFmtId="4" fontId="67" fillId="33" borderId="17" xfId="0" applyNumberFormat="1" applyFont="1" applyFill="1" applyBorder="1" applyAlignment="1">
      <alignment horizontal="right"/>
    </xf>
    <xf numFmtId="0" fontId="67" fillId="33" borderId="0" xfId="0" applyFont="1" applyFill="1" applyAlignment="1">
      <alignment horizontal="right"/>
    </xf>
    <xf numFmtId="0" fontId="67" fillId="33" borderId="17" xfId="0" applyFont="1" applyFill="1" applyBorder="1" applyAlignment="1">
      <alignment horizontal="right"/>
    </xf>
    <xf numFmtId="0" fontId="160" fillId="33" borderId="17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7" xfId="0" applyFill="1" applyBorder="1" applyAlignment="1">
      <alignment horizontal="right"/>
    </xf>
    <xf numFmtId="167" fontId="49" fillId="33" borderId="17" xfId="62" applyFont="1" applyFill="1" applyBorder="1" applyAlignment="1">
      <alignment horizontal="right" vertical="center"/>
    </xf>
    <xf numFmtId="0" fontId="160" fillId="10" borderId="17" xfId="0" applyFont="1" applyFill="1" applyBorder="1" applyAlignment="1">
      <alignment/>
    </xf>
    <xf numFmtId="0" fontId="149" fillId="33" borderId="63" xfId="0" applyFont="1" applyFill="1" applyBorder="1" applyAlignment="1">
      <alignment vertical="center" wrapText="1"/>
    </xf>
    <xf numFmtId="2" fontId="132" fillId="33" borderId="50" xfId="0" applyNumberFormat="1" applyFont="1" applyFill="1" applyBorder="1" applyAlignment="1">
      <alignment horizontal="center" vertical="center" wrapText="1"/>
    </xf>
    <xf numFmtId="0" fontId="65" fillId="9" borderId="17" xfId="0" applyFont="1" applyFill="1" applyBorder="1" applyAlignment="1">
      <alignment vertical="center"/>
    </xf>
    <xf numFmtId="4" fontId="75" fillId="9" borderId="17" xfId="0" applyNumberFormat="1" applyFont="1" applyFill="1" applyBorder="1" applyAlignment="1">
      <alignment vertical="center"/>
    </xf>
    <xf numFmtId="4" fontId="67" fillId="9" borderId="17" xfId="0" applyNumberFormat="1" applyFont="1" applyFill="1" applyBorder="1" applyAlignment="1">
      <alignment vertical="center"/>
    </xf>
    <xf numFmtId="167" fontId="67" fillId="9" borderId="17" xfId="60" applyFont="1" applyFill="1" applyBorder="1" applyAlignment="1">
      <alignment vertical="center"/>
    </xf>
    <xf numFmtId="4" fontId="67" fillId="9" borderId="17" xfId="0" applyNumberFormat="1" applyFont="1" applyFill="1" applyBorder="1" applyAlignment="1">
      <alignment/>
    </xf>
    <xf numFmtId="0" fontId="67" fillId="9" borderId="0" xfId="0" applyFont="1" applyFill="1" applyAlignment="1">
      <alignment/>
    </xf>
    <xf numFmtId="0" fontId="67" fillId="9" borderId="17" xfId="0" applyFont="1" applyFill="1" applyBorder="1" applyAlignment="1">
      <alignment/>
    </xf>
    <xf numFmtId="0" fontId="160" fillId="9" borderId="17" xfId="0" applyFont="1" applyFill="1" applyBorder="1" applyAlignment="1">
      <alignment/>
    </xf>
    <xf numFmtId="0" fontId="0" fillId="9" borderId="0" xfId="0" applyFill="1" applyAlignment="1">
      <alignment/>
    </xf>
    <xf numFmtId="0" fontId="0" fillId="9" borderId="17" xfId="0" applyFill="1" applyBorder="1" applyAlignment="1">
      <alignment/>
    </xf>
    <xf numFmtId="167" fontId="49" fillId="9" borderId="17" xfId="62" applyFont="1" applyFill="1" applyBorder="1" applyAlignment="1">
      <alignment vertical="center"/>
    </xf>
    <xf numFmtId="0" fontId="157" fillId="9" borderId="15" xfId="0" applyFont="1" applyFill="1" applyBorder="1" applyAlignment="1">
      <alignment vertical="center"/>
    </xf>
    <xf numFmtId="0" fontId="157" fillId="9" borderId="0" xfId="0" applyFont="1" applyFill="1" applyAlignment="1">
      <alignment horizontal="center" vertical="center"/>
    </xf>
    <xf numFmtId="0" fontId="157" fillId="9" borderId="18" xfId="0" applyFont="1" applyFill="1" applyBorder="1" applyAlignment="1">
      <alignment horizontal="center" vertical="center"/>
    </xf>
    <xf numFmtId="0" fontId="157" fillId="9" borderId="0" xfId="0" applyFont="1" applyFill="1" applyAlignment="1">
      <alignment vertical="center"/>
    </xf>
    <xf numFmtId="0" fontId="157" fillId="9" borderId="16" xfId="0" applyFont="1" applyFill="1" applyBorder="1" applyAlignment="1">
      <alignment vertical="center"/>
    </xf>
    <xf numFmtId="0" fontId="157" fillId="9" borderId="18" xfId="0" applyFont="1" applyFill="1" applyBorder="1" applyAlignment="1">
      <alignment vertical="center"/>
    </xf>
    <xf numFmtId="0" fontId="158" fillId="9" borderId="0" xfId="0" applyFont="1" applyFill="1" applyAlignment="1">
      <alignment/>
    </xf>
    <xf numFmtId="167" fontId="0" fillId="9" borderId="0" xfId="60" applyFont="1" applyFill="1" applyBorder="1" applyAlignment="1">
      <alignment/>
    </xf>
    <xf numFmtId="2" fontId="132" fillId="7" borderId="41" xfId="0" applyNumberFormat="1" applyFont="1" applyFill="1" applyBorder="1" applyAlignment="1">
      <alignment horizontal="center" vertical="center"/>
    </xf>
    <xf numFmtId="2" fontId="132" fillId="7" borderId="15" xfId="0" applyNumberFormat="1" applyFont="1" applyFill="1" applyBorder="1" applyAlignment="1">
      <alignment horizontal="center" vertical="center"/>
    </xf>
    <xf numFmtId="2" fontId="132" fillId="7" borderId="46" xfId="0" applyNumberFormat="1" applyFont="1" applyFill="1" applyBorder="1" applyAlignment="1">
      <alignment horizontal="center" vertical="center"/>
    </xf>
    <xf numFmtId="1" fontId="139" fillId="33" borderId="59" xfId="0" applyNumberFormat="1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vertical="center" wrapText="1"/>
    </xf>
    <xf numFmtId="166" fontId="5" fillId="7" borderId="42" xfId="0" applyNumberFormat="1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left" vertical="center" wrapText="1"/>
    </xf>
    <xf numFmtId="166" fontId="5" fillId="33" borderId="44" xfId="0" applyNumberFormat="1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left" vertical="center" wrapText="1"/>
    </xf>
    <xf numFmtId="1" fontId="139" fillId="35" borderId="43" xfId="0" applyNumberFormat="1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left" vertical="center" wrapText="1"/>
    </xf>
    <xf numFmtId="0" fontId="6" fillId="35" borderId="40" xfId="0" applyFont="1" applyFill="1" applyBorder="1" applyAlignment="1">
      <alignment horizontal="left" vertical="center" wrapText="1"/>
    </xf>
    <xf numFmtId="0" fontId="139" fillId="35" borderId="40" xfId="0" applyFont="1" applyFill="1" applyBorder="1" applyAlignment="1">
      <alignment horizontal="center" vertical="center" wrapText="1"/>
    </xf>
    <xf numFmtId="166" fontId="9" fillId="35" borderId="40" xfId="0" applyNumberFormat="1" applyFont="1" applyFill="1" applyBorder="1" applyAlignment="1">
      <alignment horizontal="center" vertical="center" wrapText="1"/>
    </xf>
    <xf numFmtId="4" fontId="9" fillId="35" borderId="41" xfId="0" applyNumberFormat="1" applyFont="1" applyFill="1" applyBorder="1" applyAlignment="1">
      <alignment horizontal="center" vertical="center"/>
    </xf>
    <xf numFmtId="4" fontId="132" fillId="35" borderId="34" xfId="0" applyNumberFormat="1" applyFont="1" applyFill="1" applyBorder="1" applyAlignment="1">
      <alignment horizontal="center" vertical="center" wrapText="1"/>
    </xf>
    <xf numFmtId="4" fontId="132" fillId="35" borderId="41" xfId="0" applyNumberFormat="1" applyFont="1" applyFill="1" applyBorder="1" applyAlignment="1">
      <alignment horizontal="center" vertical="center" wrapText="1"/>
    </xf>
    <xf numFmtId="4" fontId="9" fillId="35" borderId="15" xfId="0" applyNumberFormat="1" applyFont="1" applyFill="1" applyBorder="1" applyAlignment="1">
      <alignment horizontal="center" vertical="center"/>
    </xf>
    <xf numFmtId="4" fontId="134" fillId="35" borderId="15" xfId="0" applyNumberFormat="1" applyFont="1" applyFill="1" applyBorder="1" applyAlignment="1">
      <alignment horizontal="center" vertical="center"/>
    </xf>
    <xf numFmtId="4" fontId="136" fillId="35" borderId="16" xfId="0" applyNumberFormat="1" applyFont="1" applyFill="1" applyBorder="1" applyAlignment="1">
      <alignment vertical="center"/>
    </xf>
    <xf numFmtId="0" fontId="65" fillId="35" borderId="17" xfId="0" applyFont="1" applyFill="1" applyBorder="1" applyAlignment="1">
      <alignment vertical="center"/>
    </xf>
    <xf numFmtId="4" fontId="75" fillId="35" borderId="17" xfId="0" applyNumberFormat="1" applyFont="1" applyFill="1" applyBorder="1" applyAlignment="1">
      <alignment vertical="center"/>
    </xf>
    <xf numFmtId="167" fontId="67" fillId="35" borderId="17" xfId="60" applyFont="1" applyFill="1" applyBorder="1" applyAlignment="1">
      <alignment vertical="center"/>
    </xf>
    <xf numFmtId="4" fontId="67" fillId="35" borderId="17" xfId="0" applyNumberFormat="1" applyFont="1" applyFill="1" applyBorder="1" applyAlignment="1">
      <alignment/>
    </xf>
    <xf numFmtId="0" fontId="67" fillId="35" borderId="0" xfId="0" applyFont="1" applyFill="1" applyAlignment="1">
      <alignment/>
    </xf>
    <xf numFmtId="0" fontId="67" fillId="35" borderId="17" xfId="0" applyFont="1" applyFill="1" applyBorder="1" applyAlignment="1">
      <alignment/>
    </xf>
    <xf numFmtId="0" fontId="160" fillId="35" borderId="17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17" xfId="0" applyFill="1" applyBorder="1" applyAlignment="1">
      <alignment/>
    </xf>
    <xf numFmtId="167" fontId="49" fillId="35" borderId="17" xfId="62" applyFont="1" applyFill="1" applyBorder="1" applyAlignment="1">
      <alignment vertical="center"/>
    </xf>
    <xf numFmtId="4" fontId="157" fillId="35" borderId="39" xfId="0" applyNumberFormat="1" applyFont="1" applyFill="1" applyBorder="1" applyAlignment="1">
      <alignment vertical="center"/>
    </xf>
    <xf numFmtId="4" fontId="157" fillId="35" borderId="23" xfId="0" applyNumberFormat="1" applyFont="1" applyFill="1" applyBorder="1" applyAlignment="1">
      <alignment horizontal="center" vertical="center"/>
    </xf>
    <xf numFmtId="0" fontId="157" fillId="35" borderId="20" xfId="0" applyFont="1" applyFill="1" applyBorder="1" applyAlignment="1">
      <alignment horizontal="center" vertical="center"/>
    </xf>
    <xf numFmtId="0" fontId="157" fillId="35" borderId="23" xfId="0" applyFont="1" applyFill="1" applyBorder="1" applyAlignment="1">
      <alignment vertical="center"/>
    </xf>
    <xf numFmtId="0" fontId="157" fillId="35" borderId="22" xfId="0" applyFont="1" applyFill="1" applyBorder="1" applyAlignment="1">
      <alignment vertical="center"/>
    </xf>
    <xf numFmtId="0" fontId="157" fillId="35" borderId="20" xfId="0" applyFont="1" applyFill="1" applyBorder="1" applyAlignment="1">
      <alignment vertical="center"/>
    </xf>
    <xf numFmtId="0" fontId="158" fillId="35" borderId="0" xfId="0" applyFont="1" applyFill="1" applyAlignment="1">
      <alignment/>
    </xf>
    <xf numFmtId="167" fontId="0" fillId="35" borderId="0" xfId="60" applyFont="1" applyFill="1" applyBorder="1" applyAlignment="1">
      <alignment/>
    </xf>
    <xf numFmtId="2" fontId="65" fillId="35" borderId="17" xfId="0" applyNumberFormat="1" applyFont="1" applyFill="1" applyBorder="1" applyAlignment="1">
      <alignment vertical="center"/>
    </xf>
    <xf numFmtId="4" fontId="139" fillId="35" borderId="41" xfId="0" applyNumberFormat="1" applyFont="1" applyFill="1" applyBorder="1" applyAlignment="1">
      <alignment horizontal="center" vertical="center"/>
    </xf>
    <xf numFmtId="4" fontId="139" fillId="35" borderId="15" xfId="0" applyNumberFormat="1" applyFont="1" applyFill="1" applyBorder="1" applyAlignment="1">
      <alignment horizontal="center" vertical="center"/>
    </xf>
    <xf numFmtId="2" fontId="0" fillId="35" borderId="17" xfId="0" applyNumberFormat="1" applyFill="1" applyBorder="1" applyAlignment="1">
      <alignment/>
    </xf>
    <xf numFmtId="0" fontId="157" fillId="35" borderId="23" xfId="0" applyFont="1" applyFill="1" applyBorder="1" applyAlignment="1">
      <alignment horizontal="center" vertical="center"/>
    </xf>
    <xf numFmtId="1" fontId="139" fillId="35" borderId="43" xfId="0" applyNumberFormat="1" applyFont="1" applyFill="1" applyBorder="1" applyAlignment="1">
      <alignment horizontal="center" vertical="center"/>
    </xf>
    <xf numFmtId="0" fontId="139" fillId="35" borderId="40" xfId="0" applyFont="1" applyFill="1" applyBorder="1" applyAlignment="1">
      <alignment horizontal="left" vertical="center" wrapText="1"/>
    </xf>
    <xf numFmtId="4" fontId="139" fillId="35" borderId="41" xfId="0" applyNumberFormat="1" applyFont="1" applyFill="1" applyBorder="1" applyAlignment="1">
      <alignment horizontal="center" vertical="center" wrapText="1"/>
    </xf>
    <xf numFmtId="4" fontId="139" fillId="35" borderId="15" xfId="0" applyNumberFormat="1" applyFont="1" applyFill="1" applyBorder="1" applyAlignment="1">
      <alignment horizontal="center" vertical="center" wrapText="1"/>
    </xf>
    <xf numFmtId="0" fontId="67" fillId="35" borderId="17" xfId="0" applyFont="1" applyFill="1" applyBorder="1" applyAlignment="1">
      <alignment vertical="center" wrapText="1"/>
    </xf>
    <xf numFmtId="3" fontId="75" fillId="35" borderId="17" xfId="0" applyNumberFormat="1" applyFont="1" applyFill="1" applyBorder="1" applyAlignment="1">
      <alignment vertical="center"/>
    </xf>
    <xf numFmtId="167" fontId="75" fillId="35" borderId="17" xfId="60" applyFont="1" applyFill="1" applyBorder="1" applyAlignment="1">
      <alignment vertical="center"/>
    </xf>
    <xf numFmtId="4" fontId="75" fillId="35" borderId="17" xfId="0" applyNumberFormat="1" applyFont="1" applyFill="1" applyBorder="1" applyAlignment="1">
      <alignment/>
    </xf>
    <xf numFmtId="4" fontId="75" fillId="35" borderId="0" xfId="0" applyNumberFormat="1" applyFont="1" applyFill="1" applyAlignment="1">
      <alignment/>
    </xf>
    <xf numFmtId="2" fontId="67" fillId="35" borderId="17" xfId="0" applyNumberFormat="1" applyFont="1" applyFill="1" applyBorder="1" applyAlignment="1">
      <alignment/>
    </xf>
    <xf numFmtId="1" fontId="9" fillId="35" borderId="43" xfId="0" applyNumberFormat="1" applyFont="1" applyFill="1" applyBorder="1" applyAlignment="1">
      <alignment horizontal="center" vertical="center"/>
    </xf>
    <xf numFmtId="0" fontId="11" fillId="35" borderId="40" xfId="0" applyFont="1" applyFill="1" applyBorder="1" applyAlignment="1">
      <alignment horizontal="left" vertical="center" wrapText="1"/>
    </xf>
    <xf numFmtId="0" fontId="14" fillId="35" borderId="40" xfId="0" applyFont="1" applyFill="1" applyBorder="1" applyAlignment="1">
      <alignment horizontal="left" vertical="center" wrapText="1"/>
    </xf>
    <xf numFmtId="0" fontId="9" fillId="35" borderId="40" xfId="0" applyFont="1" applyFill="1" applyBorder="1" applyAlignment="1">
      <alignment horizontal="center" vertical="center" wrapText="1"/>
    </xf>
    <xf numFmtId="4" fontId="11" fillId="35" borderId="41" xfId="0" applyNumberFormat="1" applyFont="1" applyFill="1" applyBorder="1" applyAlignment="1">
      <alignment horizontal="center" vertical="center" wrapText="1"/>
    </xf>
    <xf numFmtId="4" fontId="11" fillId="35" borderId="15" xfId="0" applyNumberFormat="1" applyFont="1" applyFill="1" applyBorder="1" applyAlignment="1">
      <alignment horizontal="center" vertical="center" wrapText="1"/>
    </xf>
    <xf numFmtId="4" fontId="72" fillId="35" borderId="15" xfId="0" applyNumberFormat="1" applyFont="1" applyFill="1" applyBorder="1" applyAlignment="1">
      <alignment/>
    </xf>
    <xf numFmtId="4" fontId="72" fillId="35" borderId="16" xfId="0" applyNumberFormat="1" applyFont="1" applyFill="1" applyBorder="1" applyAlignment="1">
      <alignment vertical="center"/>
    </xf>
    <xf numFmtId="4" fontId="72" fillId="35" borderId="17" xfId="0" applyNumberFormat="1" applyFont="1" applyFill="1" applyBorder="1" applyAlignment="1">
      <alignment vertical="center"/>
    </xf>
    <xf numFmtId="167" fontId="72" fillId="35" borderId="17" xfId="60" applyFont="1" applyFill="1" applyBorder="1" applyAlignment="1">
      <alignment vertical="center"/>
    </xf>
    <xf numFmtId="4" fontId="72" fillId="35" borderId="0" xfId="0" applyNumberFormat="1" applyFont="1" applyFill="1" applyAlignment="1">
      <alignment vertical="center"/>
    </xf>
    <xf numFmtId="4" fontId="49" fillId="35" borderId="17" xfId="0" applyNumberFormat="1" applyFont="1" applyFill="1" applyBorder="1" applyAlignment="1">
      <alignment vertical="center"/>
    </xf>
    <xf numFmtId="0" fontId="23" fillId="35" borderId="15" xfId="0" applyFont="1" applyFill="1" applyBorder="1" applyAlignment="1">
      <alignment vertical="center"/>
    </xf>
    <xf numFmtId="0" fontId="23" fillId="35" borderId="0" xfId="0" applyFont="1" applyFill="1" applyAlignment="1">
      <alignment horizontal="center" vertical="center"/>
    </xf>
    <xf numFmtId="0" fontId="23" fillId="35" borderId="18" xfId="0" applyFont="1" applyFill="1" applyBorder="1" applyAlignment="1">
      <alignment horizontal="center" vertical="center"/>
    </xf>
    <xf numFmtId="0" fontId="23" fillId="35" borderId="0" xfId="0" applyFont="1" applyFill="1" applyAlignment="1">
      <alignment vertical="center"/>
    </xf>
    <xf numFmtId="0" fontId="23" fillId="35" borderId="16" xfId="0" applyFont="1" applyFill="1" applyBorder="1" applyAlignment="1">
      <alignment vertical="center"/>
    </xf>
    <xf numFmtId="0" fontId="23" fillId="35" borderId="18" xfId="0" applyFont="1" applyFill="1" applyBorder="1" applyAlignment="1">
      <alignment vertical="center"/>
    </xf>
    <xf numFmtId="0" fontId="4" fillId="35" borderId="0" xfId="0" applyFont="1" applyFill="1" applyAlignment="1">
      <alignment/>
    </xf>
    <xf numFmtId="167" fontId="4" fillId="35" borderId="0" xfId="60" applyFont="1" applyFill="1" applyBorder="1" applyAlignment="1">
      <alignment/>
    </xf>
    <xf numFmtId="1" fontId="9" fillId="35" borderId="67" xfId="0" applyNumberFormat="1" applyFont="1" applyFill="1" applyBorder="1" applyAlignment="1">
      <alignment horizontal="center" vertical="center" wrapText="1"/>
    </xf>
    <xf numFmtId="0" fontId="9" fillId="35" borderId="68" xfId="0" applyFont="1" applyFill="1" applyBorder="1" applyAlignment="1">
      <alignment horizontal="left" vertical="center" wrapText="1"/>
    </xf>
    <xf numFmtId="4" fontId="139" fillId="35" borderId="69" xfId="0" applyNumberFormat="1" applyFont="1" applyFill="1" applyBorder="1" applyAlignment="1">
      <alignment horizontal="center" vertical="center" wrapText="1"/>
    </xf>
    <xf numFmtId="4" fontId="167" fillId="35" borderId="15" xfId="0" applyNumberFormat="1" applyFont="1" applyFill="1" applyBorder="1" applyAlignment="1">
      <alignment horizontal="center" wrapText="1" shrinkToFit="1"/>
    </xf>
    <xf numFmtId="4" fontId="141" fillId="35" borderId="16" xfId="0" applyNumberFormat="1" applyFont="1" applyFill="1" applyBorder="1" applyAlignment="1">
      <alignment vertical="center"/>
    </xf>
    <xf numFmtId="4" fontId="152" fillId="35" borderId="70" xfId="0" applyNumberFormat="1" applyFont="1" applyFill="1" applyBorder="1" applyAlignment="1">
      <alignment vertical="center"/>
    </xf>
    <xf numFmtId="167" fontId="152" fillId="35" borderId="70" xfId="60" applyFont="1" applyFill="1" applyBorder="1" applyAlignment="1">
      <alignment vertical="center"/>
    </xf>
    <xf numFmtId="4" fontId="152" fillId="35" borderId="71" xfId="0" applyNumberFormat="1" applyFont="1" applyFill="1" applyBorder="1" applyAlignment="1">
      <alignment vertical="center"/>
    </xf>
    <xf numFmtId="167" fontId="168" fillId="35" borderId="39" xfId="62" applyFont="1" applyFill="1" applyBorder="1" applyAlignment="1">
      <alignment vertical="center"/>
    </xf>
    <xf numFmtId="167" fontId="168" fillId="35" borderId="23" xfId="62" applyFont="1" applyFill="1" applyBorder="1" applyAlignment="1">
      <alignment vertical="center"/>
    </xf>
    <xf numFmtId="167" fontId="168" fillId="35" borderId="20" xfId="62" applyFont="1" applyFill="1" applyBorder="1" applyAlignment="1">
      <alignment vertical="center"/>
    </xf>
    <xf numFmtId="167" fontId="168" fillId="35" borderId="22" xfId="62" applyFont="1" applyFill="1" applyBorder="1" applyAlignment="1">
      <alignment vertical="center"/>
    </xf>
    <xf numFmtId="0" fontId="169" fillId="35" borderId="0" xfId="0" applyFont="1" applyFill="1" applyAlignment="1">
      <alignment/>
    </xf>
    <xf numFmtId="1" fontId="132" fillId="33" borderId="0" xfId="0" applyNumberFormat="1" applyFont="1" applyFill="1" applyAlignment="1">
      <alignment horizontal="center" vertical="center" wrapText="1"/>
    </xf>
    <xf numFmtId="0" fontId="149" fillId="33" borderId="0" xfId="0" applyFont="1" applyFill="1" applyAlignment="1">
      <alignment horizontal="left" vertical="center" wrapText="1"/>
    </xf>
    <xf numFmtId="0" fontId="132" fillId="33" borderId="0" xfId="0" applyFont="1" applyFill="1" applyAlignment="1">
      <alignment horizontal="center" vertical="center" wrapText="1"/>
    </xf>
    <xf numFmtId="166" fontId="132" fillId="33" borderId="0" xfId="0" applyNumberFormat="1" applyFont="1" applyFill="1" applyAlignment="1">
      <alignment horizontal="center" vertical="center" wrapText="1"/>
    </xf>
    <xf numFmtId="2" fontId="154" fillId="33" borderId="0" xfId="0" applyNumberFormat="1" applyFont="1" applyFill="1" applyAlignment="1">
      <alignment horizontal="center" vertical="center" wrapText="1" shrinkToFit="1"/>
    </xf>
    <xf numFmtId="167" fontId="170" fillId="33" borderId="18" xfId="60" applyFont="1" applyFill="1" applyBorder="1" applyAlignment="1">
      <alignment horizontal="center" vertical="center" wrapText="1" shrinkToFit="1"/>
    </xf>
    <xf numFmtId="167" fontId="65" fillId="33" borderId="17" xfId="60" applyFont="1" applyFill="1" applyBorder="1" applyAlignment="1">
      <alignment vertical="center"/>
    </xf>
    <xf numFmtId="166" fontId="132" fillId="33" borderId="0" xfId="0" applyNumberFormat="1" applyFont="1" applyFill="1" applyAlignment="1">
      <alignment horizontal="left" vertical="center" wrapText="1"/>
    </xf>
    <xf numFmtId="0" fontId="171" fillId="33" borderId="15" xfId="0" applyFont="1" applyFill="1" applyBorder="1" applyAlignment="1">
      <alignment horizontal="center" vertical="center" wrapText="1" shrinkToFit="1"/>
    </xf>
    <xf numFmtId="0" fontId="64" fillId="33" borderId="17" xfId="0" applyFont="1" applyFill="1" applyBorder="1" applyAlignment="1">
      <alignment vertical="center"/>
    </xf>
    <xf numFmtId="43" fontId="10" fillId="33" borderId="15" xfId="0" applyNumberFormat="1" applyFont="1" applyFill="1" applyBorder="1" applyAlignment="1">
      <alignment vertical="center"/>
    </xf>
    <xf numFmtId="0" fontId="172" fillId="33" borderId="0" xfId="0" applyFont="1" applyFill="1" applyAlignment="1">
      <alignment horizontal="left" vertical="center" wrapText="1"/>
    </xf>
    <xf numFmtId="2" fontId="154" fillId="33" borderId="0" xfId="0" applyNumberFormat="1" applyFont="1" applyFill="1" applyAlignment="1">
      <alignment horizontal="left" vertical="center" wrapText="1" shrinkToFit="1"/>
    </xf>
    <xf numFmtId="2" fontId="173" fillId="33" borderId="15" xfId="0" applyNumberFormat="1" applyFont="1" applyFill="1" applyBorder="1" applyAlignment="1">
      <alignment horizontal="center" vertical="center" wrapText="1" shrinkToFit="1"/>
    </xf>
    <xf numFmtId="0" fontId="64" fillId="33" borderId="17" xfId="0" applyFont="1" applyFill="1" applyBorder="1" applyAlignment="1">
      <alignment vertical="center" wrapText="1"/>
    </xf>
    <xf numFmtId="4" fontId="160" fillId="33" borderId="17" xfId="0" applyNumberFormat="1" applyFont="1" applyFill="1" applyBorder="1" applyAlignment="1">
      <alignment/>
    </xf>
    <xf numFmtId="43" fontId="130" fillId="33" borderId="15" xfId="0" applyNumberFormat="1" applyFont="1" applyFill="1" applyBorder="1" applyAlignment="1">
      <alignment vertical="center"/>
    </xf>
    <xf numFmtId="2" fontId="139" fillId="33" borderId="0" xfId="0" applyNumberFormat="1" applyFont="1" applyFill="1" applyAlignment="1">
      <alignment horizontal="left" vertical="center"/>
    </xf>
    <xf numFmtId="2" fontId="173" fillId="33" borderId="15" xfId="0" applyNumberFormat="1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right" vertical="center"/>
    </xf>
    <xf numFmtId="4" fontId="65" fillId="33" borderId="0" xfId="0" applyNumberFormat="1" applyFont="1" applyFill="1" applyAlignment="1">
      <alignment/>
    </xf>
    <xf numFmtId="14" fontId="132" fillId="33" borderId="0" xfId="0" applyNumberFormat="1" applyFont="1" applyFill="1" applyAlignment="1">
      <alignment horizontal="left" vertical="center" wrapText="1"/>
    </xf>
    <xf numFmtId="166" fontId="132" fillId="33" borderId="0" xfId="0" applyNumberFormat="1" applyFont="1" applyFill="1" applyAlignment="1">
      <alignment/>
    </xf>
    <xf numFmtId="2" fontId="139" fillId="33" borderId="0" xfId="0" applyNumberFormat="1" applyFont="1" applyFill="1" applyAlignment="1">
      <alignment horizontal="center" vertical="center"/>
    </xf>
    <xf numFmtId="2" fontId="134" fillId="33" borderId="15" xfId="0" applyNumberFormat="1" applyFont="1" applyFill="1" applyBorder="1" applyAlignment="1">
      <alignment horizontal="center" vertical="center"/>
    </xf>
    <xf numFmtId="4" fontId="141" fillId="33" borderId="16" xfId="0" applyNumberFormat="1" applyFont="1" applyFill="1" applyBorder="1" applyAlignment="1">
      <alignment vertical="center"/>
    </xf>
    <xf numFmtId="1" fontId="139" fillId="7" borderId="0" xfId="0" applyNumberFormat="1" applyFont="1" applyFill="1" applyAlignment="1">
      <alignment horizontal="center" vertical="center" wrapText="1"/>
    </xf>
    <xf numFmtId="0" fontId="132" fillId="7" borderId="0" xfId="0" applyFont="1" applyFill="1" applyAlignment="1">
      <alignment horizontal="left"/>
    </xf>
    <xf numFmtId="0" fontId="149" fillId="7" borderId="0" xfId="0" applyFont="1" applyFill="1" applyAlignment="1">
      <alignment horizontal="left" vertical="center" wrapText="1"/>
    </xf>
    <xf numFmtId="0" fontId="132" fillId="7" borderId="0" xfId="0" applyFont="1" applyFill="1" applyAlignment="1">
      <alignment horizontal="center"/>
    </xf>
    <xf numFmtId="166" fontId="132" fillId="7" borderId="0" xfId="0" applyNumberFormat="1" applyFont="1" applyFill="1" applyAlignment="1">
      <alignment/>
    </xf>
    <xf numFmtId="2" fontId="132" fillId="7" borderId="0" xfId="0" applyNumberFormat="1" applyFont="1" applyFill="1" applyAlignment="1">
      <alignment/>
    </xf>
    <xf numFmtId="2" fontId="146" fillId="33" borderId="18" xfId="0" applyNumberFormat="1" applyFont="1" applyFill="1" applyBorder="1" applyAlignment="1">
      <alignment/>
    </xf>
    <xf numFmtId="3" fontId="65" fillId="33" borderId="17" xfId="0" applyNumberFormat="1" applyFont="1" applyFill="1" applyBorder="1" applyAlignment="1">
      <alignment vertical="center"/>
    </xf>
    <xf numFmtId="0" fontId="130" fillId="0" borderId="1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0" xfId="0" applyFont="1" applyAlignment="1">
      <alignment/>
    </xf>
    <xf numFmtId="167" fontId="174" fillId="33" borderId="18" xfId="60" applyFont="1" applyFill="1" applyBorder="1" applyAlignment="1">
      <alignment/>
    </xf>
    <xf numFmtId="167" fontId="175" fillId="33" borderId="18" xfId="60" applyFont="1" applyFill="1" applyBorder="1" applyAlignment="1">
      <alignment/>
    </xf>
    <xf numFmtId="3" fontId="137" fillId="33" borderId="17" xfId="0" applyNumberFormat="1" applyFont="1" applyFill="1" applyBorder="1" applyAlignment="1">
      <alignment vertical="center"/>
    </xf>
    <xf numFmtId="4" fontId="142" fillId="33" borderId="17" xfId="0" applyNumberFormat="1" applyFont="1" applyFill="1" applyBorder="1" applyAlignment="1">
      <alignment vertical="center"/>
    </xf>
    <xf numFmtId="2" fontId="136" fillId="33" borderId="18" xfId="0" applyNumberFormat="1" applyFont="1" applyFill="1" applyBorder="1" applyAlignment="1">
      <alignment/>
    </xf>
    <xf numFmtId="2" fontId="136" fillId="33" borderId="16" xfId="0" applyNumberFormat="1" applyFont="1" applyFill="1" applyBorder="1" applyAlignment="1">
      <alignment vertical="center"/>
    </xf>
    <xf numFmtId="2" fontId="137" fillId="33" borderId="17" xfId="0" applyNumberFormat="1" applyFont="1" applyFill="1" applyBorder="1" applyAlignment="1">
      <alignment vertical="center"/>
    </xf>
    <xf numFmtId="170" fontId="136" fillId="33" borderId="16" xfId="0" applyNumberFormat="1" applyFont="1" applyFill="1" applyBorder="1" applyAlignment="1">
      <alignment vertical="center"/>
    </xf>
    <xf numFmtId="166" fontId="176" fillId="33" borderId="17" xfId="0" applyNumberFormat="1" applyFont="1" applyFill="1" applyBorder="1" applyAlignment="1">
      <alignment horizontal="center" vertical="center"/>
    </xf>
    <xf numFmtId="3" fontId="176" fillId="33" borderId="17" xfId="0" applyNumberFormat="1" applyFont="1" applyFill="1" applyBorder="1" applyAlignment="1">
      <alignment horizontal="center" vertical="center"/>
    </xf>
    <xf numFmtId="0" fontId="137" fillId="33" borderId="17" xfId="0" applyFont="1" applyFill="1" applyBorder="1" applyAlignment="1">
      <alignment horizontal="center" vertical="center"/>
    </xf>
    <xf numFmtId="4" fontId="137" fillId="33" borderId="17" xfId="0" applyNumberFormat="1" applyFont="1" applyFill="1" applyBorder="1" applyAlignment="1">
      <alignment vertical="center"/>
    </xf>
    <xf numFmtId="166" fontId="137" fillId="33" borderId="17" xfId="0" applyNumberFormat="1" applyFont="1" applyFill="1" applyBorder="1" applyAlignment="1">
      <alignment horizontal="center" vertical="center"/>
    </xf>
    <xf numFmtId="4" fontId="177" fillId="33" borderId="17" xfId="0" applyNumberFormat="1" applyFont="1" applyFill="1" applyBorder="1" applyAlignment="1">
      <alignment horizontal="center" vertical="center"/>
    </xf>
    <xf numFmtId="4" fontId="137" fillId="33" borderId="17" xfId="0" applyNumberFormat="1" applyFont="1" applyFill="1" applyBorder="1" applyAlignment="1">
      <alignment horizontal="center" vertical="center"/>
    </xf>
    <xf numFmtId="170" fontId="136" fillId="33" borderId="18" xfId="0" applyNumberFormat="1" applyFont="1" applyFill="1" applyBorder="1" applyAlignment="1">
      <alignment/>
    </xf>
    <xf numFmtId="170" fontId="178" fillId="33" borderId="17" xfId="0" applyNumberFormat="1" applyFont="1" applyFill="1" applyBorder="1" applyAlignment="1">
      <alignment horizontal="center" vertical="center"/>
    </xf>
    <xf numFmtId="171" fontId="177" fillId="33" borderId="17" xfId="0" applyNumberFormat="1" applyFont="1" applyFill="1" applyBorder="1" applyAlignment="1">
      <alignment vertical="center"/>
    </xf>
    <xf numFmtId="14" fontId="132" fillId="7" borderId="0" xfId="0" applyNumberFormat="1" applyFont="1" applyFill="1" applyAlignment="1">
      <alignment horizontal="left" vertical="center" wrapText="1"/>
    </xf>
    <xf numFmtId="2" fontId="139" fillId="7" borderId="0" xfId="0" applyNumberFormat="1" applyFont="1" applyFill="1" applyAlignment="1">
      <alignment horizontal="center" vertical="center"/>
    </xf>
    <xf numFmtId="2" fontId="134" fillId="33" borderId="18" xfId="0" applyNumberFormat="1" applyFont="1" applyFill="1" applyBorder="1" applyAlignment="1">
      <alignment horizontal="center" vertical="center"/>
    </xf>
    <xf numFmtId="4" fontId="0" fillId="33" borderId="17" xfId="0" applyNumberFormat="1" applyFill="1" applyBorder="1" applyAlignment="1">
      <alignment/>
    </xf>
    <xf numFmtId="1" fontId="132" fillId="7" borderId="0" xfId="0" applyNumberFormat="1" applyFont="1" applyFill="1" applyAlignment="1">
      <alignment/>
    </xf>
    <xf numFmtId="3" fontId="149" fillId="7" borderId="0" xfId="0" applyNumberFormat="1" applyFont="1" applyFill="1" applyAlignment="1">
      <alignment horizontal="left" vertical="center" wrapText="1"/>
    </xf>
    <xf numFmtId="166" fontId="149" fillId="7" borderId="0" xfId="0" applyNumberFormat="1" applyFont="1" applyFill="1" applyAlignment="1">
      <alignment horizontal="left" vertical="center" wrapText="1"/>
    </xf>
    <xf numFmtId="166" fontId="143" fillId="7" borderId="0" xfId="0" applyNumberFormat="1" applyFont="1" applyFill="1" applyAlignment="1">
      <alignment horizontal="left" vertical="center" wrapText="1"/>
    </xf>
    <xf numFmtId="2" fontId="129" fillId="33" borderId="18" xfId="0" applyNumberFormat="1" applyFont="1" applyFill="1" applyBorder="1" applyAlignment="1">
      <alignment/>
    </xf>
    <xf numFmtId="0" fontId="6" fillId="7" borderId="72" xfId="0" applyFont="1" applyFill="1" applyBorder="1" applyAlignment="1">
      <alignment horizontal="left" vertical="center" wrapText="1"/>
    </xf>
    <xf numFmtId="0" fontId="5" fillId="7" borderId="54" xfId="0" applyFont="1" applyFill="1" applyBorder="1" applyAlignment="1">
      <alignment horizontal="center" vertical="center" wrapText="1"/>
    </xf>
    <xf numFmtId="0" fontId="132" fillId="7" borderId="0" xfId="0" applyFont="1" applyFill="1" applyAlignment="1">
      <alignment/>
    </xf>
    <xf numFmtId="0" fontId="129" fillId="33" borderId="18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167" fontId="0" fillId="33" borderId="0" xfId="60" applyFont="1" applyFill="1" applyBorder="1" applyAlignment="1">
      <alignment vertical="center"/>
    </xf>
    <xf numFmtId="0" fontId="149" fillId="7" borderId="44" xfId="0" applyFont="1" applyFill="1" applyBorder="1" applyAlignment="1">
      <alignment horizontal="left" vertical="center" wrapText="1"/>
    </xf>
    <xf numFmtId="0" fontId="149" fillId="7" borderId="40" xfId="0" applyFont="1" applyFill="1" applyBorder="1" applyAlignment="1">
      <alignment horizontal="left" vertical="center" wrapText="1"/>
    </xf>
    <xf numFmtId="0" fontId="149" fillId="7" borderId="42" xfId="0" applyFont="1" applyFill="1" applyBorder="1" applyAlignment="1">
      <alignment horizontal="left" vertical="center" wrapText="1"/>
    </xf>
    <xf numFmtId="1" fontId="132" fillId="7" borderId="43" xfId="0" applyNumberFormat="1" applyFont="1" applyFill="1" applyBorder="1" applyAlignment="1">
      <alignment horizontal="center" vertical="center" wrapText="1"/>
    </xf>
    <xf numFmtId="0" fontId="132" fillId="35" borderId="40" xfId="0" applyFont="1" applyFill="1" applyBorder="1" applyAlignment="1">
      <alignment horizontal="center" vertical="center" wrapText="1"/>
    </xf>
    <xf numFmtId="0" fontId="132" fillId="35" borderId="68" xfId="0" applyFont="1" applyFill="1" applyBorder="1" applyAlignment="1">
      <alignment horizontal="center" vertical="center" wrapText="1"/>
    </xf>
    <xf numFmtId="166" fontId="132" fillId="33" borderId="0" xfId="0" applyNumberFormat="1" applyFont="1" applyFill="1" applyAlignment="1">
      <alignment horizontal="left" vertical="center" wrapText="1"/>
    </xf>
    <xf numFmtId="166" fontId="132" fillId="33" borderId="0" xfId="0" applyNumberFormat="1" applyFont="1" applyFill="1" applyAlignment="1">
      <alignment horizontal="left"/>
    </xf>
    <xf numFmtId="1" fontId="5" fillId="33" borderId="45" xfId="0" applyNumberFormat="1" applyFont="1" applyFill="1" applyBorder="1" applyAlignment="1">
      <alignment horizontal="center" vertical="center" wrapText="1"/>
    </xf>
    <xf numFmtId="1" fontId="5" fillId="33" borderId="59" xfId="0" applyNumberFormat="1" applyFont="1" applyFill="1" applyBorder="1" applyAlignment="1">
      <alignment horizontal="center" vertical="center" wrapText="1"/>
    </xf>
    <xf numFmtId="1" fontId="132" fillId="13" borderId="42" xfId="0" applyNumberFormat="1" applyFont="1" applyFill="1" applyBorder="1" applyAlignment="1">
      <alignment horizontal="center" vertical="center" wrapText="1"/>
    </xf>
    <xf numFmtId="1" fontId="132" fillId="13" borderId="44" xfId="0" applyNumberFormat="1" applyFont="1" applyFill="1" applyBorder="1" applyAlignment="1">
      <alignment horizontal="center" vertical="center" wrapText="1"/>
    </xf>
    <xf numFmtId="0" fontId="132" fillId="13" borderId="42" xfId="0" applyFont="1" applyFill="1" applyBorder="1" applyAlignment="1">
      <alignment horizontal="left" vertical="center"/>
    </xf>
    <xf numFmtId="0" fontId="132" fillId="13" borderId="44" xfId="0" applyFont="1" applyFill="1" applyBorder="1" applyAlignment="1">
      <alignment horizontal="left" vertical="center"/>
    </xf>
    <xf numFmtId="0" fontId="149" fillId="33" borderId="37" xfId="0" applyFont="1" applyFill="1" applyBorder="1" applyAlignment="1">
      <alignment horizontal="left" vertical="center" wrapText="1"/>
    </xf>
    <xf numFmtId="0" fontId="149" fillId="33" borderId="73" xfId="0" applyFont="1" applyFill="1" applyBorder="1" applyAlignment="1">
      <alignment horizontal="left" vertical="center" wrapText="1"/>
    </xf>
    <xf numFmtId="0" fontId="149" fillId="33" borderId="40" xfId="0" applyFont="1" applyFill="1" applyBorder="1" applyAlignment="1">
      <alignment horizontal="left" vertical="center" wrapText="1"/>
    </xf>
    <xf numFmtId="0" fontId="149" fillId="33" borderId="42" xfId="0" applyFont="1" applyFill="1" applyBorder="1" applyAlignment="1">
      <alignment horizontal="left" vertical="center" wrapText="1"/>
    </xf>
    <xf numFmtId="0" fontId="149" fillId="33" borderId="44" xfId="0" applyFont="1" applyFill="1" applyBorder="1" applyAlignment="1">
      <alignment horizontal="left" vertical="center" wrapText="1"/>
    </xf>
    <xf numFmtId="1" fontId="132" fillId="33" borderId="43" xfId="0" applyNumberFormat="1" applyFont="1" applyFill="1" applyBorder="1" applyAlignment="1">
      <alignment horizontal="center" vertical="center" wrapText="1"/>
    </xf>
    <xf numFmtId="1" fontId="5" fillId="7" borderId="43" xfId="0" applyNumberFormat="1" applyFont="1" applyFill="1" applyBorder="1" applyAlignment="1">
      <alignment horizontal="center" vertical="center" wrapText="1"/>
    </xf>
    <xf numFmtId="1" fontId="5" fillId="33" borderId="36" xfId="0" applyNumberFormat="1" applyFont="1" applyFill="1" applyBorder="1" applyAlignment="1">
      <alignment horizontal="center" vertical="center" wrapText="1"/>
    </xf>
    <xf numFmtId="1" fontId="5" fillId="33" borderId="51" xfId="0" applyNumberFormat="1" applyFont="1" applyFill="1" applyBorder="1" applyAlignment="1">
      <alignment horizontal="center" vertical="center" wrapText="1"/>
    </xf>
    <xf numFmtId="0" fontId="139" fillId="33" borderId="33" xfId="0" applyFont="1" applyFill="1" applyBorder="1" applyAlignment="1">
      <alignment horizontal="center" vertical="center" wrapText="1"/>
    </xf>
    <xf numFmtId="0" fontId="139" fillId="33" borderId="35" xfId="0" applyFont="1" applyFill="1" applyBorder="1" applyAlignment="1">
      <alignment horizontal="center" vertical="center" wrapText="1"/>
    </xf>
    <xf numFmtId="0" fontId="139" fillId="33" borderId="30" xfId="0" applyFont="1" applyFill="1" applyBorder="1" applyAlignment="1">
      <alignment horizontal="center" vertical="center" wrapText="1"/>
    </xf>
    <xf numFmtId="0" fontId="139" fillId="33" borderId="32" xfId="0" applyFont="1" applyFill="1" applyBorder="1" applyAlignment="1">
      <alignment horizontal="center" vertical="center" wrapText="1"/>
    </xf>
    <xf numFmtId="0" fontId="5" fillId="7" borderId="72" xfId="0" applyFont="1" applyFill="1" applyBorder="1" applyAlignment="1">
      <alignment horizontal="center" vertical="center" wrapText="1"/>
    </xf>
    <xf numFmtId="1" fontId="132" fillId="33" borderId="45" xfId="0" applyNumberFormat="1" applyFont="1" applyFill="1" applyBorder="1" applyAlignment="1">
      <alignment horizontal="center" vertical="center" wrapText="1"/>
    </xf>
    <xf numFmtId="1" fontId="132" fillId="33" borderId="59" xfId="0" applyNumberFormat="1" applyFont="1" applyFill="1" applyBorder="1" applyAlignment="1">
      <alignment horizontal="center" vertical="center" wrapText="1"/>
    </xf>
    <xf numFmtId="2" fontId="132" fillId="33" borderId="22" xfId="0" applyNumberFormat="1" applyFont="1" applyFill="1" applyBorder="1" applyAlignment="1">
      <alignment horizontal="center" vertical="center" wrapText="1"/>
    </xf>
    <xf numFmtId="2" fontId="132" fillId="33" borderId="39" xfId="0" applyNumberFormat="1" applyFont="1" applyFill="1" applyBorder="1" applyAlignment="1">
      <alignment horizontal="center" vertical="center" wrapText="1"/>
    </xf>
    <xf numFmtId="2" fontId="132" fillId="33" borderId="10" xfId="0" applyNumberFormat="1" applyFont="1" applyFill="1" applyBorder="1" applyAlignment="1">
      <alignment horizontal="center" vertical="center" wrapText="1"/>
    </xf>
    <xf numFmtId="2" fontId="132" fillId="33" borderId="19" xfId="0" applyNumberFormat="1" applyFont="1" applyFill="1" applyBorder="1" applyAlignment="1">
      <alignment horizontal="center" vertical="center" wrapText="1"/>
    </xf>
    <xf numFmtId="4" fontId="179" fillId="33" borderId="22" xfId="0" applyNumberFormat="1" applyFont="1" applyFill="1" applyBorder="1" applyAlignment="1">
      <alignment horizontal="center" vertical="center"/>
    </xf>
    <xf numFmtId="0" fontId="179" fillId="33" borderId="23" xfId="0" applyFont="1" applyFill="1" applyBorder="1" applyAlignment="1">
      <alignment horizontal="center" vertical="center"/>
    </xf>
    <xf numFmtId="0" fontId="179" fillId="33" borderId="39" xfId="0" applyFont="1" applyFill="1" applyBorder="1" applyAlignment="1">
      <alignment horizontal="center" vertical="center"/>
    </xf>
    <xf numFmtId="0" fontId="139" fillId="2" borderId="22" xfId="0" applyFont="1" applyFill="1" applyBorder="1" applyAlignment="1">
      <alignment horizontal="center" vertical="center" wrapText="1"/>
    </xf>
    <xf numFmtId="0" fontId="139" fillId="2" borderId="39" xfId="0" applyFont="1" applyFill="1" applyBorder="1" applyAlignment="1">
      <alignment horizontal="center" vertical="center" wrapText="1"/>
    </xf>
    <xf numFmtId="0" fontId="139" fillId="2" borderId="30" xfId="0" applyFont="1" applyFill="1" applyBorder="1" applyAlignment="1">
      <alignment horizontal="left" vertical="center" wrapText="1"/>
    </xf>
    <xf numFmtId="0" fontId="139" fillId="2" borderId="32" xfId="0" applyFont="1" applyFill="1" applyBorder="1" applyAlignment="1">
      <alignment horizontal="left" vertical="center" wrapText="1"/>
    </xf>
    <xf numFmtId="166" fontId="135" fillId="33" borderId="0" xfId="0" applyNumberFormat="1" applyFont="1" applyFill="1" applyAlignment="1">
      <alignment horizontal="center"/>
    </xf>
    <xf numFmtId="0" fontId="139" fillId="33" borderId="0" xfId="0" applyFont="1" applyFill="1" applyAlignment="1">
      <alignment horizontal="center"/>
    </xf>
    <xf numFmtId="0" fontId="139" fillId="33" borderId="0" xfId="0" applyFont="1" applyFill="1" applyAlignment="1">
      <alignment horizontal="center" vertical="center" wrapText="1"/>
    </xf>
    <xf numFmtId="1" fontId="132" fillId="33" borderId="29" xfId="0" applyNumberFormat="1" applyFont="1" applyFill="1" applyBorder="1" applyAlignment="1">
      <alignment horizontal="center" vertical="center" wrapText="1"/>
    </xf>
    <xf numFmtId="1" fontId="132" fillId="33" borderId="62" xfId="0" applyNumberFormat="1" applyFont="1" applyFill="1" applyBorder="1" applyAlignment="1">
      <alignment horizontal="center" vertical="center" wrapText="1"/>
    </xf>
    <xf numFmtId="0" fontId="132" fillId="33" borderId="74" xfId="0" applyFont="1" applyFill="1" applyBorder="1" applyAlignment="1">
      <alignment horizontal="center" vertical="center" wrapText="1"/>
    </xf>
    <xf numFmtId="0" fontId="132" fillId="33" borderId="75" xfId="0" applyFont="1" applyFill="1" applyBorder="1" applyAlignment="1">
      <alignment horizontal="center" vertical="center" wrapText="1"/>
    </xf>
    <xf numFmtId="0" fontId="149" fillId="33" borderId="27" xfId="0" applyFont="1" applyFill="1" applyBorder="1" applyAlignment="1">
      <alignment horizontal="center" vertical="center" wrapText="1"/>
    </xf>
    <xf numFmtId="0" fontId="149" fillId="33" borderId="76" xfId="0" applyFont="1" applyFill="1" applyBorder="1" applyAlignment="1">
      <alignment horizontal="center" vertical="center" wrapText="1"/>
    </xf>
    <xf numFmtId="0" fontId="132" fillId="33" borderId="29" xfId="0" applyFont="1" applyFill="1" applyBorder="1" applyAlignment="1">
      <alignment horizontal="center" vertical="center" wrapText="1"/>
    </xf>
    <xf numFmtId="0" fontId="132" fillId="33" borderId="62" xfId="0" applyFont="1" applyFill="1" applyBorder="1" applyAlignment="1">
      <alignment horizontal="center" vertical="center" wrapText="1"/>
    </xf>
    <xf numFmtId="166" fontId="132" fillId="33" borderId="28" xfId="0" applyNumberFormat="1" applyFont="1" applyFill="1" applyBorder="1" applyAlignment="1">
      <alignment horizontal="center" vertical="center" wrapText="1"/>
    </xf>
    <xf numFmtId="166" fontId="132" fillId="33" borderId="7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5;&#1057;\&#1055;&#1056;&#1048;&#1045;&#1052;&#1050;&#1040;%202024\&#1058;&#1045;&#1050;&#1059;&#1065;&#1048;&#1049;%202024\&#1075;&#1088;&#1072;&#1092;&#1080;&#1082;&#1080;+&#1087;&#1083;&#1072;&#1085;%20(&#1072;&#1087;&#1088;&#1077;&#1083;&#1100;%20202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а"/>
      <sheetName val="платежей"/>
      <sheetName val="платежей "/>
      <sheetName val="свод платеж"/>
      <sheetName val="перечень"/>
      <sheetName val="План  2024"/>
      <sheetName val="План 2024"/>
      <sheetName val="План  2024 (изм ПСД)"/>
      <sheetName val="План 2024 (корр. 01.02.24)"/>
      <sheetName val="План 2024 05.02.24"/>
      <sheetName val="раб. версияПлан 2024 (25.04.24)"/>
      <sheetName val="План 2024( реш.311 от 04.04.24)"/>
    </sheetNames>
    <sheetDataSet>
      <sheetData sheetId="9">
        <row r="16">
          <cell r="F16">
            <v>15512652</v>
          </cell>
        </row>
        <row r="131">
          <cell r="F131">
            <v>211687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9;&#1051;&#1048;&#1062;&#1067;%20&#1055;&#1045;&#1056;&#1045;&#1063;&#1045;&#1053;&#1068;\&#1055;&#1077;&#1088;&#1077;&#1076;&#1072;&#1095;&#1072;,%20&#1087;&#1077;&#1088;&#1080;&#1084;&#1077;&#1085;&#1086;&#1074;&#1072;&#1085;&#1080;&#1077;%20&#1091;&#1083;&#1080;&#1094;\&#1051;&#1091;&#1075;&#1086;&#1074;&#1086;&#1089;&#1083;&#1086;&#1073;&#1086;&#1076;&#1089;&#1082;&#1086;&#1081;%20&#1089;&#1077;&#1083;&#1100;&#1080;&#1089;&#1087;&#1086;&#1083;&#1082;&#1086;&#1084;\&#1091;&#1083;.%2080%20&#1083;&#1077;&#1090;%20&#1055;&#1086;&#1073;&#1077;&#1076;&#1099;%20&#1050;&#1086;&#1086;&#1087;&#1077;&#1088;&#1072;&#1090;&#1080;&#1074;%20&#1055;&#1088;&#1080;&#1083;&#1077;&#1089;&#1100;&#1077;%201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H313"/>
  <sheetViews>
    <sheetView tabSelected="1" view="pageBreakPreview" zoomScale="75" zoomScaleSheetLayoutView="75" zoomScalePageLayoutView="0" workbookViewId="0" topLeftCell="A1">
      <pane ySplit="20" topLeftCell="A21" activePane="bottomLeft" state="frozen"/>
      <selection pane="topLeft" activeCell="A1" sqref="A1"/>
      <selection pane="bottomLeft" activeCell="H32" sqref="H32"/>
    </sheetView>
  </sheetViews>
  <sheetFormatPr defaultColWidth="9.00390625" defaultRowHeight="12.75"/>
  <cols>
    <col min="1" max="1" width="6.00390625" style="989" customWidth="1"/>
    <col min="2" max="2" width="42.875" style="953" customWidth="1"/>
    <col min="3" max="3" width="34.25390625" style="954" customWidth="1"/>
    <col min="4" max="4" width="7.25390625" style="955" hidden="1" customWidth="1"/>
    <col min="5" max="5" width="14.375" style="956" hidden="1" customWidth="1"/>
    <col min="6" max="6" width="21.75390625" style="957" customWidth="1"/>
    <col min="7" max="7" width="14.25390625" style="957" customWidth="1"/>
    <col min="8" max="8" width="15.25390625" style="957" customWidth="1"/>
    <col min="9" max="9" width="25.75390625" style="957" customWidth="1"/>
    <col min="10" max="10" width="27.25390625" style="957" customWidth="1"/>
    <col min="11" max="12" width="21.75390625" style="957" hidden="1" customWidth="1"/>
    <col min="13" max="13" width="19.625" style="993" hidden="1" customWidth="1"/>
    <col min="14" max="14" width="14.625" style="26" hidden="1" customWidth="1"/>
    <col min="15" max="15" width="12.75390625" style="27" hidden="1" customWidth="1"/>
    <col min="16" max="16" width="10.75390625" style="27" hidden="1" customWidth="1"/>
    <col min="17" max="17" width="13.375" style="27" hidden="1" customWidth="1"/>
    <col min="18" max="18" width="16.75390625" style="28" hidden="1" customWidth="1"/>
    <col min="19" max="19" width="2.75390625" style="29" hidden="1" customWidth="1"/>
    <col min="20" max="20" width="2.75390625" style="14" hidden="1" customWidth="1"/>
    <col min="21" max="21" width="2.75390625" style="29" hidden="1" customWidth="1"/>
    <col min="22" max="22" width="2.75390625" style="14" hidden="1" customWidth="1"/>
    <col min="23" max="23" width="2.75390625" style="29" hidden="1" customWidth="1"/>
    <col min="24" max="24" width="2.75390625" style="14" hidden="1" customWidth="1"/>
    <col min="25" max="25" width="2.75390625" style="29" hidden="1" customWidth="1"/>
    <col min="26" max="26" width="2.75390625" style="30" hidden="1" customWidth="1"/>
    <col min="27" max="27" width="15.75390625" style="960" hidden="1" customWidth="1"/>
    <col min="28" max="28" width="12.00390625" style="961" hidden="1" customWidth="1"/>
    <col min="29" max="29" width="11.375" style="962" hidden="1" customWidth="1"/>
    <col min="30" max="30" width="9.875" style="963" hidden="1" customWidth="1"/>
    <col min="31" max="33" width="10.00390625" style="964" hidden="1" customWidth="1"/>
    <col min="34" max="34" width="14.25390625" style="965" hidden="1" customWidth="1"/>
    <col min="35" max="35" width="13.125" style="966" hidden="1" customWidth="1"/>
    <col min="36" max="36" width="17.375" style="321" hidden="1" customWidth="1"/>
    <col min="37" max="37" width="16.375" style="0" hidden="1" customWidth="1"/>
    <col min="38" max="52" width="8.875" style="0" hidden="1" customWidth="1"/>
    <col min="53" max="60" width="8.875" style="0" customWidth="1"/>
  </cols>
  <sheetData>
    <row r="1" spans="1:36" s="14" customFormat="1" ht="15.75">
      <c r="A1" s="1"/>
      <c r="B1" s="2"/>
      <c r="C1" s="3"/>
      <c r="D1" s="4"/>
      <c r="E1" s="5" t="s">
        <v>0</v>
      </c>
      <c r="F1" s="6"/>
      <c r="G1" s="6"/>
      <c r="H1" s="6"/>
      <c r="I1" s="7"/>
      <c r="J1" s="7" t="s">
        <v>1</v>
      </c>
      <c r="K1" s="8"/>
      <c r="L1" s="8"/>
      <c r="M1" s="9"/>
      <c r="N1" s="10"/>
      <c r="O1" s="11"/>
      <c r="P1" s="11"/>
      <c r="Q1" s="11"/>
      <c r="R1" s="12"/>
      <c r="S1" s="13"/>
      <c r="U1" s="13"/>
      <c r="W1" s="13"/>
      <c r="Y1" s="13"/>
      <c r="Z1" s="15"/>
      <c r="AA1" s="16"/>
      <c r="AB1" s="17"/>
      <c r="AC1" s="18"/>
      <c r="AD1" s="19"/>
      <c r="AE1" s="20"/>
      <c r="AF1" s="20"/>
      <c r="AG1" s="20"/>
      <c r="AH1" s="21"/>
      <c r="AI1" s="22"/>
      <c r="AJ1" s="23"/>
    </row>
    <row r="2" spans="1:36" s="14" customFormat="1" ht="15.75">
      <c r="A2" s="1"/>
      <c r="B2" s="2"/>
      <c r="C2" s="3"/>
      <c r="D2" s="4"/>
      <c r="E2" s="5"/>
      <c r="F2" s="6"/>
      <c r="G2" s="6"/>
      <c r="H2" s="6"/>
      <c r="I2" s="24"/>
      <c r="J2" s="24" t="s">
        <v>2</v>
      </c>
      <c r="K2" s="8"/>
      <c r="L2" s="8"/>
      <c r="M2" s="25"/>
      <c r="N2" s="26"/>
      <c r="O2" s="27"/>
      <c r="P2" s="27"/>
      <c r="Q2" s="27"/>
      <c r="R2" s="28"/>
      <c r="S2" s="29"/>
      <c r="U2" s="29"/>
      <c r="W2" s="29"/>
      <c r="Y2" s="29"/>
      <c r="Z2" s="30"/>
      <c r="AA2" s="31"/>
      <c r="AB2" s="32"/>
      <c r="AC2" s="33"/>
      <c r="AD2" s="34"/>
      <c r="AE2" s="35"/>
      <c r="AF2" s="35"/>
      <c r="AG2" s="35"/>
      <c r="AH2" s="36"/>
      <c r="AI2" s="22"/>
      <c r="AJ2" s="23"/>
    </row>
    <row r="3" spans="1:36" s="14" customFormat="1" ht="15.75">
      <c r="A3" s="1"/>
      <c r="B3" s="2"/>
      <c r="C3" s="3"/>
      <c r="D3" s="4"/>
      <c r="E3" s="5"/>
      <c r="F3" s="6"/>
      <c r="G3" s="6"/>
      <c r="H3" s="6"/>
      <c r="I3" s="7"/>
      <c r="J3" s="7" t="s">
        <v>3</v>
      </c>
      <c r="K3" s="8"/>
      <c r="L3" s="8"/>
      <c r="M3" s="25"/>
      <c r="N3" s="26"/>
      <c r="O3" s="27"/>
      <c r="P3" s="27"/>
      <c r="Q3" s="27"/>
      <c r="R3" s="28"/>
      <c r="S3" s="29"/>
      <c r="U3" s="29"/>
      <c r="W3" s="29"/>
      <c r="Y3" s="29"/>
      <c r="Z3" s="30"/>
      <c r="AA3" s="31"/>
      <c r="AB3" s="32"/>
      <c r="AC3" s="33"/>
      <c r="AD3" s="34"/>
      <c r="AE3" s="35"/>
      <c r="AF3" s="35"/>
      <c r="AG3" s="35"/>
      <c r="AH3" s="36"/>
      <c r="AI3" s="22"/>
      <c r="AJ3" s="23"/>
    </row>
    <row r="4" spans="1:36" s="14" customFormat="1" ht="15.75">
      <c r="A4" s="1"/>
      <c r="B4" s="2"/>
      <c r="C4" s="3"/>
      <c r="D4" s="4"/>
      <c r="E4" s="5"/>
      <c r="F4" s="6"/>
      <c r="G4" s="6"/>
      <c r="H4" s="6"/>
      <c r="I4" s="7"/>
      <c r="J4" s="7" t="s">
        <v>4</v>
      </c>
      <c r="K4" s="8"/>
      <c r="L4" s="8"/>
      <c r="M4" s="25"/>
      <c r="N4" s="26"/>
      <c r="O4" s="27"/>
      <c r="P4" s="27"/>
      <c r="Q4" s="27"/>
      <c r="R4" s="28"/>
      <c r="S4" s="29"/>
      <c r="U4" s="29"/>
      <c r="W4" s="29"/>
      <c r="Y4" s="29"/>
      <c r="Z4" s="30"/>
      <c r="AA4" s="31"/>
      <c r="AB4" s="32"/>
      <c r="AC4" s="33"/>
      <c r="AD4" s="34"/>
      <c r="AE4" s="35"/>
      <c r="AF4" s="35"/>
      <c r="AG4" s="35"/>
      <c r="AH4" s="36"/>
      <c r="AI4" s="22"/>
      <c r="AJ4" s="23"/>
    </row>
    <row r="5" spans="1:36" s="14" customFormat="1" ht="15.75">
      <c r="A5" s="1"/>
      <c r="B5" s="2"/>
      <c r="C5" s="3"/>
      <c r="D5" s="4"/>
      <c r="E5" s="5"/>
      <c r="F5" s="6"/>
      <c r="G5" s="6"/>
      <c r="H5" s="6"/>
      <c r="I5" s="7"/>
      <c r="J5" s="7" t="s">
        <v>5</v>
      </c>
      <c r="K5" s="8"/>
      <c r="L5" s="8"/>
      <c r="M5" s="25"/>
      <c r="N5" s="26"/>
      <c r="O5" s="27"/>
      <c r="P5" s="27"/>
      <c r="Q5" s="27"/>
      <c r="R5" s="28"/>
      <c r="S5" s="29"/>
      <c r="U5" s="29"/>
      <c r="W5" s="29"/>
      <c r="Y5" s="29"/>
      <c r="Z5" s="30"/>
      <c r="AA5" s="31"/>
      <c r="AB5" s="32"/>
      <c r="AC5" s="33"/>
      <c r="AD5" s="34"/>
      <c r="AE5" s="35"/>
      <c r="AF5" s="35"/>
      <c r="AG5" s="35"/>
      <c r="AH5" s="36"/>
      <c r="AI5" s="22"/>
      <c r="AJ5" s="23"/>
    </row>
    <row r="6" spans="1:36" s="14" customFormat="1" ht="15.75">
      <c r="A6" s="1"/>
      <c r="B6" s="2"/>
      <c r="C6" s="3"/>
      <c r="D6" s="4"/>
      <c r="E6" s="5"/>
      <c r="F6" s="6"/>
      <c r="G6" s="6"/>
      <c r="H6" s="6"/>
      <c r="I6" s="7"/>
      <c r="J6" s="7"/>
      <c r="K6" s="8"/>
      <c r="L6" s="8"/>
      <c r="M6" s="25"/>
      <c r="N6" s="26"/>
      <c r="O6" s="27"/>
      <c r="P6" s="27"/>
      <c r="Q6" s="27"/>
      <c r="R6" s="28"/>
      <c r="S6" s="29"/>
      <c r="U6" s="29"/>
      <c r="W6" s="29"/>
      <c r="Y6" s="29"/>
      <c r="Z6" s="30"/>
      <c r="AA6" s="31"/>
      <c r="AB6" s="32"/>
      <c r="AC6" s="33"/>
      <c r="AD6" s="34"/>
      <c r="AE6" s="35"/>
      <c r="AF6" s="35"/>
      <c r="AG6" s="35"/>
      <c r="AH6" s="36"/>
      <c r="AI6" s="22"/>
      <c r="AJ6" s="23"/>
    </row>
    <row r="7" spans="1:36" s="14" customFormat="1" ht="15.75">
      <c r="A7" s="1"/>
      <c r="B7" s="2"/>
      <c r="C7" s="3"/>
      <c r="D7" s="4"/>
      <c r="E7" s="5"/>
      <c r="F7" s="6"/>
      <c r="G7" s="6"/>
      <c r="H7" s="6"/>
      <c r="I7" s="6"/>
      <c r="J7" s="6"/>
      <c r="K7" s="6"/>
      <c r="L7" s="6"/>
      <c r="M7" s="37"/>
      <c r="N7" s="26"/>
      <c r="O7" s="27"/>
      <c r="P7" s="27"/>
      <c r="Q7" s="27"/>
      <c r="R7" s="28"/>
      <c r="S7" s="29"/>
      <c r="U7" s="29"/>
      <c r="W7" s="29"/>
      <c r="Y7" s="29"/>
      <c r="Z7" s="30"/>
      <c r="AA7" s="31"/>
      <c r="AB7" s="32"/>
      <c r="AC7" s="33"/>
      <c r="AD7" s="34"/>
      <c r="AE7" s="35"/>
      <c r="AF7" s="35"/>
      <c r="AG7" s="35"/>
      <c r="AH7" s="36"/>
      <c r="AI7" s="22"/>
      <c r="AJ7" s="23"/>
    </row>
    <row r="8" spans="1:36" s="14" customFormat="1" ht="22.5">
      <c r="A8" s="38"/>
      <c r="B8" s="39"/>
      <c r="C8" s="3"/>
      <c r="D8" s="39"/>
      <c r="E8" s="40"/>
      <c r="F8" s="41"/>
      <c r="G8" s="39"/>
      <c r="H8" s="40"/>
      <c r="I8" s="39" t="s">
        <v>6</v>
      </c>
      <c r="J8" s="40"/>
      <c r="K8" s="41"/>
      <c r="L8" s="41"/>
      <c r="M8" s="42">
        <f>'[1]План 2024 05.02.24'!F16+1000000</f>
        <v>16512652</v>
      </c>
      <c r="N8" s="26"/>
      <c r="O8" s="27"/>
      <c r="P8" s="27"/>
      <c r="Q8" s="27"/>
      <c r="R8" s="28"/>
      <c r="S8" s="29"/>
      <c r="U8" s="29"/>
      <c r="W8" s="29"/>
      <c r="Y8" s="29"/>
      <c r="Z8" s="30"/>
      <c r="AA8" s="31"/>
      <c r="AB8" s="32"/>
      <c r="AC8" s="33"/>
      <c r="AD8" s="34"/>
      <c r="AE8" s="35"/>
      <c r="AF8" s="35"/>
      <c r="AG8" s="35"/>
      <c r="AH8" s="36"/>
      <c r="AI8" s="22"/>
      <c r="AJ8" s="23"/>
    </row>
    <row r="9" spans="1:36" s="14" customFormat="1" ht="15.75">
      <c r="A9" s="38"/>
      <c r="B9" s="39"/>
      <c r="C9" s="43"/>
      <c r="D9" s="44"/>
      <c r="E9" s="45"/>
      <c r="F9" s="44"/>
      <c r="G9" s="44"/>
      <c r="H9" s="45"/>
      <c r="I9" s="44" t="s">
        <v>7</v>
      </c>
      <c r="J9" s="45"/>
      <c r="K9" s="44"/>
      <c r="L9" s="44"/>
      <c r="M9" s="46"/>
      <c r="N9" s="26"/>
      <c r="O9" s="27"/>
      <c r="P9" s="27"/>
      <c r="Q9" s="27"/>
      <c r="R9" s="28"/>
      <c r="S9" s="29"/>
      <c r="U9" s="29"/>
      <c r="W9" s="29"/>
      <c r="Y9" s="29"/>
      <c r="Z9" s="30"/>
      <c r="AA9" s="31"/>
      <c r="AB9" s="32"/>
      <c r="AC9" s="33"/>
      <c r="AD9" s="34"/>
      <c r="AE9" s="35"/>
      <c r="AF9" s="35"/>
      <c r="AG9" s="35"/>
      <c r="AH9" s="36"/>
      <c r="AI9" s="22"/>
      <c r="AJ9" s="23"/>
    </row>
    <row r="10" spans="1:36" s="14" customFormat="1" ht="15.75">
      <c r="A10" s="38"/>
      <c r="B10" s="39"/>
      <c r="C10" s="47"/>
      <c r="D10" s="44"/>
      <c r="E10" s="45"/>
      <c r="F10" s="48"/>
      <c r="G10" s="44"/>
      <c r="H10" s="45"/>
      <c r="I10" s="44" t="s">
        <v>8</v>
      </c>
      <c r="J10" s="45"/>
      <c r="K10" s="48"/>
      <c r="L10" s="48"/>
      <c r="M10" s="46"/>
      <c r="N10" s="26"/>
      <c r="O10" s="27"/>
      <c r="P10" s="27"/>
      <c r="Q10" s="27"/>
      <c r="R10" s="28"/>
      <c r="S10" s="29"/>
      <c r="U10" s="29"/>
      <c r="W10" s="29"/>
      <c r="Y10" s="29"/>
      <c r="Z10" s="30"/>
      <c r="AA10" s="31"/>
      <c r="AB10" s="32"/>
      <c r="AC10" s="33"/>
      <c r="AD10" s="34"/>
      <c r="AE10" s="35"/>
      <c r="AF10" s="35"/>
      <c r="AG10" s="35"/>
      <c r="AH10" s="36"/>
      <c r="AI10" s="22"/>
      <c r="AJ10" s="23"/>
    </row>
    <row r="11" spans="1:36" s="14" customFormat="1" ht="15.75">
      <c r="A11" s="38"/>
      <c r="B11" s="39"/>
      <c r="C11" s="47"/>
      <c r="D11" s="44"/>
      <c r="E11" s="45"/>
      <c r="F11" s="48"/>
      <c r="G11" s="44"/>
      <c r="H11" s="45"/>
      <c r="I11" s="44" t="s">
        <v>4</v>
      </c>
      <c r="J11" s="45"/>
      <c r="K11" s="48"/>
      <c r="L11" s="48"/>
      <c r="M11" s="46"/>
      <c r="N11" s="26"/>
      <c r="O11" s="27"/>
      <c r="P11" s="27"/>
      <c r="Q11" s="27"/>
      <c r="R11" s="28"/>
      <c r="S11" s="29"/>
      <c r="U11" s="29"/>
      <c r="W11" s="29"/>
      <c r="Y11" s="29"/>
      <c r="Z11" s="30"/>
      <c r="AA11" s="31"/>
      <c r="AB11" s="32"/>
      <c r="AC11" s="33"/>
      <c r="AD11" s="34"/>
      <c r="AE11" s="35"/>
      <c r="AF11" s="35"/>
      <c r="AG11" s="35"/>
      <c r="AH11" s="36"/>
      <c r="AI11" s="22"/>
      <c r="AJ11" s="23"/>
    </row>
    <row r="12" spans="1:36" s="14" customFormat="1" ht="15.75">
      <c r="A12" s="38"/>
      <c r="B12" s="39"/>
      <c r="C12" s="47"/>
      <c r="D12" s="44"/>
      <c r="E12" s="45"/>
      <c r="F12" s="48"/>
      <c r="G12" s="44"/>
      <c r="H12" s="45"/>
      <c r="I12" s="44" t="s">
        <v>9</v>
      </c>
      <c r="J12" s="45"/>
      <c r="K12" s="48"/>
      <c r="L12" s="48"/>
      <c r="M12" s="46"/>
      <c r="N12" s="26"/>
      <c r="O12" s="27"/>
      <c r="P12" s="27"/>
      <c r="Q12" s="27"/>
      <c r="R12" s="28"/>
      <c r="S12" s="29"/>
      <c r="U12" s="29"/>
      <c r="W12" s="29"/>
      <c r="Y12" s="29"/>
      <c r="Z12" s="30"/>
      <c r="AA12" s="31"/>
      <c r="AB12" s="32"/>
      <c r="AC12" s="33"/>
      <c r="AD12" s="34"/>
      <c r="AE12" s="35"/>
      <c r="AF12" s="35"/>
      <c r="AG12" s="35"/>
      <c r="AH12" s="36"/>
      <c r="AI12" s="22"/>
      <c r="AJ12" s="23"/>
    </row>
    <row r="13" spans="1:36" s="14" customFormat="1" ht="15.75">
      <c r="A13" s="38"/>
      <c r="B13" s="39"/>
      <c r="C13" s="47"/>
      <c r="D13" s="39"/>
      <c r="E13" s="45"/>
      <c r="F13" s="44"/>
      <c r="G13" s="39"/>
      <c r="H13" s="45"/>
      <c r="I13" s="39"/>
      <c r="J13" s="45" t="s">
        <v>10</v>
      </c>
      <c r="K13" s="44"/>
      <c r="L13" s="44"/>
      <c r="M13" s="46"/>
      <c r="N13" s="26"/>
      <c r="O13" s="27"/>
      <c r="P13" s="27"/>
      <c r="Q13" s="27"/>
      <c r="R13" s="28"/>
      <c r="S13" s="29"/>
      <c r="U13" s="29"/>
      <c r="W13" s="29"/>
      <c r="Y13" s="29"/>
      <c r="Z13" s="30"/>
      <c r="AA13" s="31"/>
      <c r="AB13" s="32"/>
      <c r="AC13" s="33"/>
      <c r="AD13" s="34"/>
      <c r="AE13" s="35"/>
      <c r="AF13" s="35"/>
      <c r="AG13" s="35"/>
      <c r="AH13" s="36"/>
      <c r="AI13" s="22"/>
      <c r="AJ13" s="23"/>
    </row>
    <row r="14" spans="1:36" s="14" customFormat="1" ht="15.75">
      <c r="A14" s="38"/>
      <c r="B14" s="39"/>
      <c r="C14" s="3"/>
      <c r="D14" s="49"/>
      <c r="E14" s="1041"/>
      <c r="F14" s="1041"/>
      <c r="G14" s="50"/>
      <c r="H14" s="50"/>
      <c r="I14" s="50"/>
      <c r="J14" s="50"/>
      <c r="K14" s="50"/>
      <c r="L14" s="50"/>
      <c r="M14" s="46"/>
      <c r="N14" s="51"/>
      <c r="O14" s="52"/>
      <c r="P14" s="52"/>
      <c r="Q14" s="52"/>
      <c r="R14" s="53"/>
      <c r="S14" s="29"/>
      <c r="U14" s="29"/>
      <c r="W14" s="29"/>
      <c r="Y14" s="29"/>
      <c r="Z14" s="30"/>
      <c r="AA14" s="54" t="s">
        <v>11</v>
      </c>
      <c r="AB14" s="32"/>
      <c r="AC14" s="33"/>
      <c r="AD14" s="34"/>
      <c r="AE14" s="35"/>
      <c r="AF14" s="35"/>
      <c r="AG14" s="35"/>
      <c r="AH14" s="36"/>
      <c r="AI14" s="22"/>
      <c r="AJ14" s="23"/>
    </row>
    <row r="15" spans="1:36" s="14" customFormat="1" ht="16.5">
      <c r="A15" s="1042" t="s">
        <v>12</v>
      </c>
      <c r="B15" s="1042"/>
      <c r="C15" s="1042"/>
      <c r="D15" s="1042"/>
      <c r="E15" s="1042"/>
      <c r="F15" s="1042"/>
      <c r="G15" s="1042"/>
      <c r="H15" s="1042"/>
      <c r="I15" s="1042"/>
      <c r="J15" s="1042"/>
      <c r="K15" s="55"/>
      <c r="L15" s="55"/>
      <c r="M15" s="56"/>
      <c r="N15" s="57"/>
      <c r="O15" s="58"/>
      <c r="P15" s="52"/>
      <c r="Q15" s="52"/>
      <c r="R15" s="53"/>
      <c r="S15" s="29"/>
      <c r="U15" s="29"/>
      <c r="W15" s="29"/>
      <c r="Y15" s="29"/>
      <c r="Z15" s="30"/>
      <c r="AA15" s="31"/>
      <c r="AB15" s="32"/>
      <c r="AC15" s="33"/>
      <c r="AD15" s="34"/>
      <c r="AE15" s="35"/>
      <c r="AF15" s="35"/>
      <c r="AG15" s="35"/>
      <c r="AH15" s="36"/>
      <c r="AI15" s="22"/>
      <c r="AJ15" s="23"/>
    </row>
    <row r="16" spans="1:36" s="14" customFormat="1" ht="16.5" customHeight="1">
      <c r="A16" s="1043" t="s">
        <v>13</v>
      </c>
      <c r="B16" s="1043"/>
      <c r="C16" s="1043"/>
      <c r="D16" s="1043"/>
      <c r="E16" s="1043"/>
      <c r="F16" s="1043"/>
      <c r="G16" s="1043"/>
      <c r="H16" s="1043"/>
      <c r="I16" s="1043"/>
      <c r="J16" s="1043"/>
      <c r="K16" s="59"/>
      <c r="L16" s="59"/>
      <c r="M16" s="60"/>
      <c r="N16" s="57"/>
      <c r="O16" s="58"/>
      <c r="P16" s="52"/>
      <c r="Q16" s="52"/>
      <c r="R16" s="53"/>
      <c r="S16" s="29"/>
      <c r="U16" s="29"/>
      <c r="W16" s="29"/>
      <c r="Y16" s="29"/>
      <c r="Z16" s="30"/>
      <c r="AA16" s="61"/>
      <c r="AB16" s="32"/>
      <c r="AC16" s="33"/>
      <c r="AD16" s="34"/>
      <c r="AE16" s="35"/>
      <c r="AF16" s="35"/>
      <c r="AG16" s="35"/>
      <c r="AH16" s="36"/>
      <c r="AI16" s="22"/>
      <c r="AJ16" s="23"/>
    </row>
    <row r="17" spans="1:36" s="14" customFormat="1" ht="16.5" customHeight="1">
      <c r="A17" s="1043" t="s">
        <v>14</v>
      </c>
      <c r="B17" s="1043"/>
      <c r="C17" s="1043"/>
      <c r="D17" s="1043"/>
      <c r="E17" s="1043"/>
      <c r="F17" s="1043"/>
      <c r="G17" s="1043"/>
      <c r="H17" s="1043"/>
      <c r="I17" s="1043"/>
      <c r="J17" s="1043"/>
      <c r="K17" s="59"/>
      <c r="L17" s="59"/>
      <c r="M17" s="60"/>
      <c r="N17" s="57"/>
      <c r="O17" s="58"/>
      <c r="P17" s="52"/>
      <c r="Q17" s="52"/>
      <c r="R17" s="53"/>
      <c r="S17" s="29"/>
      <c r="U17" s="29"/>
      <c r="W17" s="29"/>
      <c r="Y17" s="29"/>
      <c r="Z17" s="30"/>
      <c r="AA17" s="31"/>
      <c r="AB17" s="32"/>
      <c r="AC17" s="33"/>
      <c r="AD17" s="34"/>
      <c r="AE17" s="35"/>
      <c r="AF17" s="35"/>
      <c r="AG17" s="35"/>
      <c r="AH17" s="36"/>
      <c r="AI17" s="22"/>
      <c r="AJ17" s="23"/>
    </row>
    <row r="18" spans="1:36" s="14" customFormat="1" ht="16.5" thickBot="1">
      <c r="A18" s="62"/>
      <c r="B18" s="63"/>
      <c r="C18" s="64"/>
      <c r="D18" s="59"/>
      <c r="E18" s="65"/>
      <c r="F18" s="66"/>
      <c r="G18" s="66"/>
      <c r="H18" s="66"/>
      <c r="I18" s="66"/>
      <c r="J18" s="66"/>
      <c r="K18" s="66"/>
      <c r="L18" s="66"/>
      <c r="M18" s="67"/>
      <c r="N18" s="68"/>
      <c r="O18" s="69"/>
      <c r="P18" s="52"/>
      <c r="Q18" s="52"/>
      <c r="R18" s="53"/>
      <c r="S18" s="29"/>
      <c r="U18" s="29"/>
      <c r="W18" s="29"/>
      <c r="Y18" s="29"/>
      <c r="Z18" s="30"/>
      <c r="AA18" s="31"/>
      <c r="AB18" s="32"/>
      <c r="AC18" s="33"/>
      <c r="AD18" s="34"/>
      <c r="AE18" s="35"/>
      <c r="AF18" s="35"/>
      <c r="AG18" s="35"/>
      <c r="AH18" s="36"/>
      <c r="AI18" s="22"/>
      <c r="AJ18" s="23"/>
    </row>
    <row r="19" spans="1:36" s="80" customFormat="1" ht="32.25" customHeight="1" thickBot="1">
      <c r="A19" s="1044" t="s">
        <v>15</v>
      </c>
      <c r="B19" s="1046" t="s">
        <v>16</v>
      </c>
      <c r="C19" s="1048" t="s">
        <v>17</v>
      </c>
      <c r="D19" s="1050" t="s">
        <v>18</v>
      </c>
      <c r="E19" s="1052" t="s">
        <v>19</v>
      </c>
      <c r="F19" s="1032" t="s">
        <v>20</v>
      </c>
      <c r="G19" s="1030" t="s">
        <v>21</v>
      </c>
      <c r="H19" s="1031"/>
      <c r="I19" s="1032" t="s">
        <v>22</v>
      </c>
      <c r="J19" s="1032" t="s">
        <v>23</v>
      </c>
      <c r="K19" s="70"/>
      <c r="L19" s="70"/>
      <c r="M19" s="71"/>
      <c r="N19" s="72"/>
      <c r="O19" s="73"/>
      <c r="P19" s="74"/>
      <c r="Q19" s="75"/>
      <c r="R19" s="76"/>
      <c r="S19" s="77"/>
      <c r="T19" s="78"/>
      <c r="U19" s="77"/>
      <c r="V19" s="78"/>
      <c r="W19" s="79"/>
      <c r="Y19" s="79"/>
      <c r="Z19" s="81"/>
      <c r="AA19" s="1034">
        <f>AA21+AB21+AC21+AD21+AH21+AE21</f>
        <v>16512652</v>
      </c>
      <c r="AB19" s="1035"/>
      <c r="AC19" s="1035"/>
      <c r="AD19" s="1035"/>
      <c r="AE19" s="1035"/>
      <c r="AF19" s="1035"/>
      <c r="AG19" s="1035"/>
      <c r="AH19" s="1036"/>
      <c r="AI19" s="82"/>
      <c r="AJ19" s="83"/>
    </row>
    <row r="20" spans="1:36" s="80" customFormat="1" ht="32.25" customHeight="1" thickBot="1">
      <c r="A20" s="1045"/>
      <c r="B20" s="1047"/>
      <c r="C20" s="1049"/>
      <c r="D20" s="1051"/>
      <c r="E20" s="1053"/>
      <c r="F20" s="1033"/>
      <c r="G20" s="84" t="s">
        <v>24</v>
      </c>
      <c r="H20" s="84" t="s">
        <v>25</v>
      </c>
      <c r="I20" s="1033"/>
      <c r="J20" s="1033"/>
      <c r="K20" s="70"/>
      <c r="L20" s="70"/>
      <c r="M20" s="71"/>
      <c r="N20" s="85"/>
      <c r="O20" s="86"/>
      <c r="P20" s="87"/>
      <c r="Q20" s="75"/>
      <c r="R20" s="76"/>
      <c r="S20" s="77"/>
      <c r="T20" s="78"/>
      <c r="U20" s="77"/>
      <c r="V20" s="78"/>
      <c r="W20" s="79"/>
      <c r="Y20" s="79"/>
      <c r="Z20" s="81"/>
      <c r="AA20" s="88" t="s">
        <v>26</v>
      </c>
      <c r="AB20" s="89" t="s">
        <v>27</v>
      </c>
      <c r="AC20" s="90" t="s">
        <v>28</v>
      </c>
      <c r="AD20" s="89" t="s">
        <v>29</v>
      </c>
      <c r="AE20" s="91" t="s">
        <v>30</v>
      </c>
      <c r="AF20" s="91" t="s">
        <v>31</v>
      </c>
      <c r="AG20" s="91" t="s">
        <v>32</v>
      </c>
      <c r="AH20" s="90" t="s">
        <v>33</v>
      </c>
      <c r="AI20" s="82"/>
      <c r="AJ20" s="83"/>
    </row>
    <row r="21" spans="1:36" s="80" customFormat="1" ht="16.5" thickBot="1">
      <c r="A21" s="92">
        <v>1</v>
      </c>
      <c r="B21" s="93">
        <v>2</v>
      </c>
      <c r="C21" s="94">
        <v>3</v>
      </c>
      <c r="D21" s="95">
        <v>4</v>
      </c>
      <c r="E21" s="96">
        <v>5</v>
      </c>
      <c r="F21" s="97">
        <v>6</v>
      </c>
      <c r="G21" s="97">
        <v>7</v>
      </c>
      <c r="H21" s="97">
        <v>8</v>
      </c>
      <c r="I21" s="97">
        <v>9</v>
      </c>
      <c r="J21" s="97">
        <v>10</v>
      </c>
      <c r="K21" s="98"/>
      <c r="L21" s="98"/>
      <c r="M21" s="99"/>
      <c r="N21" s="100"/>
      <c r="O21" s="101" t="s">
        <v>34</v>
      </c>
      <c r="P21" s="102" t="s">
        <v>35</v>
      </c>
      <c r="Q21" s="101" t="s">
        <v>36</v>
      </c>
      <c r="R21" s="103" t="s">
        <v>37</v>
      </c>
      <c r="S21" s="104" t="s">
        <v>38</v>
      </c>
      <c r="T21" s="105" t="s">
        <v>39</v>
      </c>
      <c r="U21" s="104" t="s">
        <v>40</v>
      </c>
      <c r="V21" s="105" t="s">
        <v>41</v>
      </c>
      <c r="W21" s="104" t="s">
        <v>42</v>
      </c>
      <c r="X21" s="105" t="s">
        <v>43</v>
      </c>
      <c r="Y21" s="104" t="s">
        <v>44</v>
      </c>
      <c r="Z21" s="106" t="s">
        <v>45</v>
      </c>
      <c r="AA21" s="107">
        <f>AA248</f>
        <v>11830195</v>
      </c>
      <c r="AB21" s="108">
        <f>AB248</f>
        <v>380000</v>
      </c>
      <c r="AC21" s="109">
        <f>AC248</f>
        <v>0</v>
      </c>
      <c r="AD21" s="108">
        <f>F246</f>
        <v>0</v>
      </c>
      <c r="AE21" s="110">
        <f>AE248</f>
        <v>0</v>
      </c>
      <c r="AF21" s="110">
        <f>AF248</f>
        <v>0</v>
      </c>
      <c r="AG21" s="110">
        <f>AG248</f>
        <v>0</v>
      </c>
      <c r="AH21" s="109">
        <f>F248</f>
        <v>4302457</v>
      </c>
      <c r="AI21" s="111"/>
      <c r="AJ21" s="83"/>
    </row>
    <row r="22" spans="1:36" s="117" customFormat="1" ht="39" customHeight="1" thickBot="1">
      <c r="A22" s="112"/>
      <c r="B22" s="1037" t="s">
        <v>46</v>
      </c>
      <c r="C22" s="1038"/>
      <c r="D22" s="113" t="s">
        <v>47</v>
      </c>
      <c r="E22" s="114">
        <f>E23</f>
        <v>48.756</v>
      </c>
      <c r="F22" s="115">
        <f>F23+F248</f>
        <v>16512652</v>
      </c>
      <c r="G22" s="115"/>
      <c r="H22" s="115"/>
      <c r="I22" s="115"/>
      <c r="J22" s="115"/>
      <c r="K22" s="116"/>
      <c r="L22" s="116"/>
      <c r="N22" s="118">
        <f>F23-F24-F25</f>
        <v>0</v>
      </c>
      <c r="O22" s="119"/>
      <c r="P22" s="120"/>
      <c r="Q22" s="121"/>
      <c r="R22" s="122"/>
      <c r="S22" s="123"/>
      <c r="T22" s="124"/>
      <c r="U22" s="125"/>
      <c r="V22" s="126"/>
      <c r="W22" s="127"/>
      <c r="Y22" s="127"/>
      <c r="Z22" s="128"/>
      <c r="AA22" s="129"/>
      <c r="AB22" s="130"/>
      <c r="AC22" s="131"/>
      <c r="AD22" s="132"/>
      <c r="AE22" s="133"/>
      <c r="AF22" s="133"/>
      <c r="AG22" s="133"/>
      <c r="AH22" s="134"/>
      <c r="AI22" s="135"/>
      <c r="AJ22" s="136"/>
    </row>
    <row r="23" spans="1:36" s="117" customFormat="1" ht="22.5" customHeight="1" thickBot="1">
      <c r="A23" s="137" t="s">
        <v>48</v>
      </c>
      <c r="B23" s="138" t="s">
        <v>49</v>
      </c>
      <c r="C23" s="139"/>
      <c r="D23" s="140" t="s">
        <v>47</v>
      </c>
      <c r="E23" s="141">
        <f>E30+E59+E67+E93+E103+E122+E126+E129+E134+E140+E143+E159+E166+E177+E203+E221+E229+E239</f>
        <v>48.756</v>
      </c>
      <c r="F23" s="142">
        <f>F30+F59+F67+F93+F103+F122+F126+F129+F134+F140+F143+F159+F166+F177+F193+F203+F221+F229+F239+F242+F243+F244+F245+F246</f>
        <v>12210195</v>
      </c>
      <c r="G23" s="142"/>
      <c r="H23" s="142"/>
      <c r="I23" s="142"/>
      <c r="J23" s="142"/>
      <c r="K23" s="143"/>
      <c r="L23" s="143"/>
      <c r="M23" s="144" t="str">
        <f>IF(F23=F24+F25+F26+F27+F28+F29,"ОК")</f>
        <v>ОК</v>
      </c>
      <c r="N23" s="145"/>
      <c r="O23" s="146"/>
      <c r="P23" s="147"/>
      <c r="Q23" s="148"/>
      <c r="R23" s="122"/>
      <c r="S23" s="149"/>
      <c r="T23" s="124"/>
      <c r="U23" s="125"/>
      <c r="V23" s="126"/>
      <c r="W23" s="127"/>
      <c r="Y23" s="127"/>
      <c r="Z23" s="128"/>
      <c r="AA23" s="150"/>
      <c r="AB23" s="130"/>
      <c r="AC23" s="151"/>
      <c r="AD23" s="132"/>
      <c r="AE23" s="133"/>
      <c r="AF23" s="133"/>
      <c r="AG23" s="133"/>
      <c r="AH23" s="134"/>
      <c r="AI23" s="135"/>
      <c r="AJ23" s="136"/>
    </row>
    <row r="24" spans="1:36" s="117" customFormat="1" ht="20.25" customHeight="1" thickBot="1">
      <c r="A24" s="152"/>
      <c r="B24" s="153" t="s">
        <v>50</v>
      </c>
      <c r="C24" s="154"/>
      <c r="D24" s="155" t="s">
        <v>51</v>
      </c>
      <c r="E24" s="156">
        <f>COUNTIF(C30:C245,"разработка ПСД*")-15</f>
        <v>13</v>
      </c>
      <c r="F24" s="157">
        <f>AB30+AB59+AB67+AB93+AB103+AB122+AB126+AB129+AB134+AB140+AB143+AB159+AB166+AB177+AB193+AB203+AB221+AB229+AB239</f>
        <v>380000</v>
      </c>
      <c r="G24" s="157"/>
      <c r="H24" s="157"/>
      <c r="I24" s="157"/>
      <c r="J24" s="157"/>
      <c r="K24" s="143"/>
      <c r="L24" s="143"/>
      <c r="M24" s="158"/>
      <c r="N24" s="159" t="s">
        <v>52</v>
      </c>
      <c r="O24" s="146"/>
      <c r="P24" s="147"/>
      <c r="Q24" s="148"/>
      <c r="R24" s="122"/>
      <c r="S24" s="149"/>
      <c r="T24" s="124"/>
      <c r="U24" s="125"/>
      <c r="V24" s="126"/>
      <c r="W24" s="127"/>
      <c r="Y24" s="127"/>
      <c r="Z24" s="128"/>
      <c r="AA24" s="129"/>
      <c r="AB24" s="130"/>
      <c r="AC24" s="131"/>
      <c r="AD24" s="132"/>
      <c r="AE24" s="133"/>
      <c r="AF24" s="133"/>
      <c r="AG24" s="133"/>
      <c r="AH24" s="134"/>
      <c r="AI24" s="160"/>
      <c r="AJ24" s="136"/>
    </row>
    <row r="25" spans="1:36" s="117" customFormat="1" ht="20.25" customHeight="1" thickBot="1">
      <c r="A25" s="161"/>
      <c r="B25" s="1039" t="s">
        <v>53</v>
      </c>
      <c r="C25" s="1040"/>
      <c r="D25" s="162"/>
      <c r="E25" s="163">
        <f>E23</f>
        <v>48.756</v>
      </c>
      <c r="F25" s="164">
        <f>AA30+AA59+AA67+AA93+AA103+AA122+AA126+AA129+AA134+AA140+AA143+AA159+AA166+AA177+AA193+AA203+AA221+AA229+AA239+AA242+AA243+AA244+AA245</f>
        <v>11830195</v>
      </c>
      <c r="G25" s="164"/>
      <c r="H25" s="164"/>
      <c r="I25" s="164"/>
      <c r="J25" s="164"/>
      <c r="K25" s="143"/>
      <c r="L25" s="143"/>
      <c r="M25" s="165"/>
      <c r="N25" s="166"/>
      <c r="O25" s="146"/>
      <c r="P25" s="147"/>
      <c r="Q25" s="148"/>
      <c r="R25" s="122"/>
      <c r="S25" s="149"/>
      <c r="T25" s="124"/>
      <c r="U25" s="125"/>
      <c r="V25" s="126"/>
      <c r="W25" s="127"/>
      <c r="Y25" s="127"/>
      <c r="Z25" s="128"/>
      <c r="AA25" s="129"/>
      <c r="AB25" s="167"/>
      <c r="AC25" s="151"/>
      <c r="AD25" s="132"/>
      <c r="AE25" s="133"/>
      <c r="AF25" s="133"/>
      <c r="AG25" s="133"/>
      <c r="AH25" s="134"/>
      <c r="AI25" s="135"/>
      <c r="AJ25" s="136"/>
    </row>
    <row r="26" spans="1:36" s="14" customFormat="1" ht="20.25" customHeight="1" hidden="1">
      <c r="A26" s="168"/>
      <c r="B26" s="1023" t="s">
        <v>54</v>
      </c>
      <c r="C26" s="1024"/>
      <c r="D26" s="169"/>
      <c r="E26" s="170"/>
      <c r="F26" s="171"/>
      <c r="G26" s="171"/>
      <c r="H26" s="171"/>
      <c r="I26" s="171"/>
      <c r="J26" s="171"/>
      <c r="K26" s="172"/>
      <c r="L26" s="172"/>
      <c r="M26" s="173"/>
      <c r="N26" s="174"/>
      <c r="O26" s="175"/>
      <c r="P26" s="176"/>
      <c r="Q26" s="177"/>
      <c r="R26" s="178"/>
      <c r="S26" s="179"/>
      <c r="T26" s="180"/>
      <c r="U26" s="181"/>
      <c r="V26" s="182"/>
      <c r="W26" s="29"/>
      <c r="Y26" s="29"/>
      <c r="Z26" s="30"/>
      <c r="AA26" s="31"/>
      <c r="AB26" s="32"/>
      <c r="AC26" s="33"/>
      <c r="AD26" s="34"/>
      <c r="AE26" s="35"/>
      <c r="AF26" s="35"/>
      <c r="AG26" s="35"/>
      <c r="AH26" s="36"/>
      <c r="AI26" s="22"/>
      <c r="AJ26" s="23"/>
    </row>
    <row r="27" spans="1:36" s="14" customFormat="1" ht="20.25" customHeight="1" hidden="1">
      <c r="A27" s="183"/>
      <c r="B27" s="1025" t="s">
        <v>55</v>
      </c>
      <c r="C27" s="1026"/>
      <c r="D27" s="184"/>
      <c r="E27" s="185"/>
      <c r="F27" s="186"/>
      <c r="G27" s="186"/>
      <c r="H27" s="186"/>
      <c r="I27" s="186"/>
      <c r="J27" s="186"/>
      <c r="K27" s="172"/>
      <c r="L27" s="172"/>
      <c r="M27" s="173"/>
      <c r="N27" s="174"/>
      <c r="O27" s="187"/>
      <c r="P27" s="176"/>
      <c r="Q27" s="177"/>
      <c r="R27" s="178"/>
      <c r="S27" s="179"/>
      <c r="T27" s="180"/>
      <c r="U27" s="181"/>
      <c r="V27" s="182"/>
      <c r="W27" s="29"/>
      <c r="Y27" s="29"/>
      <c r="Z27" s="30"/>
      <c r="AA27" s="31"/>
      <c r="AB27" s="32"/>
      <c r="AC27" s="33"/>
      <c r="AD27" s="34"/>
      <c r="AE27" s="35"/>
      <c r="AF27" s="35"/>
      <c r="AG27" s="35"/>
      <c r="AH27" s="36"/>
      <c r="AI27" s="22"/>
      <c r="AJ27" s="23"/>
    </row>
    <row r="28" spans="1:36" s="203" customFormat="1" ht="20.25" customHeight="1" hidden="1">
      <c r="A28" s="188"/>
      <c r="B28" s="1027" t="s">
        <v>56</v>
      </c>
      <c r="C28" s="1027"/>
      <c r="D28" s="189"/>
      <c r="E28" s="190" t="s">
        <v>57</v>
      </c>
      <c r="F28" s="191">
        <f>AC21+AD21</f>
        <v>0</v>
      </c>
      <c r="G28" s="191">
        <f>AD21+AE21</f>
        <v>0</v>
      </c>
      <c r="H28" s="191">
        <f>AE21+AF21</f>
        <v>0</v>
      </c>
      <c r="I28" s="191">
        <f>AF21+AG21</f>
        <v>0</v>
      </c>
      <c r="J28" s="191">
        <f>AG21+AH21</f>
        <v>4302457</v>
      </c>
      <c r="K28" s="191"/>
      <c r="L28" s="191"/>
      <c r="M28" s="192"/>
      <c r="N28" s="193"/>
      <c r="O28" s="194"/>
      <c r="P28" s="195"/>
      <c r="Q28" s="196"/>
      <c r="R28" s="197"/>
      <c r="S28" s="198"/>
      <c r="T28" s="199"/>
      <c r="U28" s="200"/>
      <c r="V28" s="201"/>
      <c r="W28" s="202"/>
      <c r="Y28" s="202"/>
      <c r="Z28" s="204"/>
      <c r="AA28" s="205"/>
      <c r="AB28" s="206"/>
      <c r="AC28" s="207"/>
      <c r="AD28" s="208"/>
      <c r="AE28" s="209"/>
      <c r="AF28" s="209"/>
      <c r="AG28" s="209"/>
      <c r="AH28" s="210"/>
      <c r="AI28" s="211"/>
      <c r="AJ28" s="212"/>
    </row>
    <row r="29" spans="1:36" s="203" customFormat="1" ht="20.25" customHeight="1" hidden="1">
      <c r="A29" s="188"/>
      <c r="B29" s="189"/>
      <c r="C29" s="213" t="s">
        <v>58</v>
      </c>
      <c r="D29" s="189"/>
      <c r="E29" s="190" t="s">
        <v>57</v>
      </c>
      <c r="F29" s="214">
        <f>AE21</f>
        <v>0</v>
      </c>
      <c r="G29" s="214">
        <f>AF21</f>
        <v>0</v>
      </c>
      <c r="H29" s="214">
        <f>AG21</f>
        <v>0</v>
      </c>
      <c r="I29" s="214">
        <f>AH21</f>
        <v>4302457</v>
      </c>
      <c r="J29" s="214">
        <f>AI21</f>
        <v>0</v>
      </c>
      <c r="K29" s="214"/>
      <c r="L29" s="214"/>
      <c r="M29" s="192"/>
      <c r="N29" s="193"/>
      <c r="O29" s="194"/>
      <c r="P29" s="195"/>
      <c r="Q29" s="196"/>
      <c r="R29" s="197"/>
      <c r="S29" s="198"/>
      <c r="T29" s="199"/>
      <c r="U29" s="200"/>
      <c r="V29" s="201"/>
      <c r="W29" s="202"/>
      <c r="Y29" s="202"/>
      <c r="Z29" s="204"/>
      <c r="AA29" s="205"/>
      <c r="AB29" s="206"/>
      <c r="AC29" s="207"/>
      <c r="AD29" s="208"/>
      <c r="AE29" s="209"/>
      <c r="AF29" s="209"/>
      <c r="AG29" s="209"/>
      <c r="AH29" s="210"/>
      <c r="AI29" s="211"/>
      <c r="AJ29" s="212"/>
    </row>
    <row r="30" spans="1:36" s="233" customFormat="1" ht="30" customHeight="1" thickBot="1">
      <c r="A30" s="215" t="s">
        <v>59</v>
      </c>
      <c r="B30" s="216" t="s">
        <v>60</v>
      </c>
      <c r="C30" s="217"/>
      <c r="D30" s="218" t="s">
        <v>47</v>
      </c>
      <c r="E30" s="219">
        <f>SUM(E32:E58)</f>
        <v>2.984</v>
      </c>
      <c r="F30" s="220">
        <f>SUM(F31:F58)</f>
        <v>663180</v>
      </c>
      <c r="G30" s="220"/>
      <c r="H30" s="220"/>
      <c r="I30" s="220"/>
      <c r="J30" s="220"/>
      <c r="K30" s="221"/>
      <c r="L30" s="221"/>
      <c r="M30" s="222" t="s">
        <v>61</v>
      </c>
      <c r="N30" s="223" t="s">
        <v>62</v>
      </c>
      <c r="O30" s="224"/>
      <c r="P30" s="225"/>
      <c r="Q30" s="226"/>
      <c r="R30" s="227"/>
      <c r="S30" s="228"/>
      <c r="T30" s="229"/>
      <c r="U30" s="230"/>
      <c r="V30" s="231"/>
      <c r="W30" s="232"/>
      <c r="Y30" s="232"/>
      <c r="Z30" s="234"/>
      <c r="AA30" s="235">
        <f>F34+F37+F39+F35</f>
        <v>603180</v>
      </c>
      <c r="AB30" s="236">
        <f>F32+F41+F42</f>
        <v>60000</v>
      </c>
      <c r="AC30" s="237"/>
      <c r="AD30" s="236"/>
      <c r="AE30" s="238"/>
      <c r="AF30" s="238"/>
      <c r="AG30" s="238"/>
      <c r="AH30" s="237"/>
      <c r="AI30" s="239" t="str">
        <f>IF(F30=AA30+AB30+AC30+AD30+AH30,"ОК")</f>
        <v>ОК</v>
      </c>
      <c r="AJ30" s="240"/>
    </row>
    <row r="31" spans="1:36" s="14" customFormat="1" ht="15.75">
      <c r="A31" s="1028"/>
      <c r="B31" s="241" t="s">
        <v>63</v>
      </c>
      <c r="C31" s="242"/>
      <c r="D31" s="243"/>
      <c r="E31" s="244"/>
      <c r="F31" s="245"/>
      <c r="G31" s="245"/>
      <c r="H31" s="245"/>
      <c r="I31" s="245"/>
      <c r="J31" s="245"/>
      <c r="K31" s="246"/>
      <c r="L31" s="246"/>
      <c r="M31" s="247"/>
      <c r="N31" s="248"/>
      <c r="O31" s="249"/>
      <c r="P31" s="250"/>
      <c r="Q31" s="177"/>
      <c r="R31" s="178"/>
      <c r="S31" s="179"/>
      <c r="T31" s="180"/>
      <c r="U31" s="181"/>
      <c r="V31" s="182"/>
      <c r="W31" s="29"/>
      <c r="Y31" s="29"/>
      <c r="Z31" s="30"/>
      <c r="AA31" s="251"/>
      <c r="AB31" s="252"/>
      <c r="AC31" s="253"/>
      <c r="AD31" s="252"/>
      <c r="AE31" s="254"/>
      <c r="AF31" s="254"/>
      <c r="AG31" s="254"/>
      <c r="AH31" s="253"/>
      <c r="AI31" s="255"/>
      <c r="AJ31" s="23"/>
    </row>
    <row r="32" spans="1:36" s="14" customFormat="1" ht="63">
      <c r="A32" s="1029"/>
      <c r="B32" s="256" t="s">
        <v>64</v>
      </c>
      <c r="C32" s="257" t="s">
        <v>65</v>
      </c>
      <c r="D32" s="258" t="s">
        <v>47</v>
      </c>
      <c r="E32" s="259">
        <v>0.75</v>
      </c>
      <c r="F32" s="260">
        <v>20000</v>
      </c>
      <c r="G32" s="261">
        <v>2024</v>
      </c>
      <c r="H32" s="261">
        <v>2024</v>
      </c>
      <c r="I32" s="260" t="s">
        <v>66</v>
      </c>
      <c r="J32" s="260"/>
      <c r="K32" s="262"/>
      <c r="L32" s="262"/>
      <c r="M32" s="263">
        <f>F32-N32</f>
        <v>20000</v>
      </c>
      <c r="N32" s="264">
        <f>SUM(O32:Z32)</f>
        <v>0</v>
      </c>
      <c r="O32" s="249"/>
      <c r="P32" s="265"/>
      <c r="Q32" s="177"/>
      <c r="R32" s="178"/>
      <c r="S32" s="179"/>
      <c r="T32" s="180"/>
      <c r="U32" s="181"/>
      <c r="V32" s="182"/>
      <c r="W32" s="29"/>
      <c r="Y32" s="29"/>
      <c r="Z32" s="266"/>
      <c r="AA32" s="251"/>
      <c r="AB32" s="252"/>
      <c r="AC32" s="253"/>
      <c r="AD32" s="252"/>
      <c r="AE32" s="254"/>
      <c r="AF32" s="254"/>
      <c r="AG32" s="254"/>
      <c r="AH32" s="253"/>
      <c r="AI32" s="267"/>
      <c r="AJ32" s="23"/>
    </row>
    <row r="33" spans="1:36" s="14" customFormat="1" ht="15.75">
      <c r="A33" s="1019"/>
      <c r="B33" s="241" t="s">
        <v>67</v>
      </c>
      <c r="C33" s="242"/>
      <c r="D33" s="258"/>
      <c r="E33" s="259"/>
      <c r="F33" s="268"/>
      <c r="G33" s="268"/>
      <c r="H33" s="268"/>
      <c r="I33" s="268"/>
      <c r="J33" s="268"/>
      <c r="K33" s="269"/>
      <c r="L33" s="269"/>
      <c r="M33" s="263"/>
      <c r="N33" s="264"/>
      <c r="O33" s="270"/>
      <c r="P33" s="250"/>
      <c r="Q33" s="177"/>
      <c r="R33" s="178"/>
      <c r="S33" s="179"/>
      <c r="T33" s="180"/>
      <c r="U33" s="181"/>
      <c r="V33" s="182"/>
      <c r="W33" s="29"/>
      <c r="Y33" s="29"/>
      <c r="Z33" s="30"/>
      <c r="AA33" s="271"/>
      <c r="AB33" s="272"/>
      <c r="AC33" s="273"/>
      <c r="AD33" s="272"/>
      <c r="AE33" s="274"/>
      <c r="AF33" s="274"/>
      <c r="AG33" s="274"/>
      <c r="AH33" s="273"/>
      <c r="AI33" s="22"/>
      <c r="AJ33" s="23"/>
    </row>
    <row r="34" spans="1:36" s="14" customFormat="1" ht="63">
      <c r="A34" s="1019"/>
      <c r="B34" s="256" t="s">
        <v>68</v>
      </c>
      <c r="C34" s="275" t="s">
        <v>69</v>
      </c>
      <c r="D34" s="258" t="s">
        <v>47</v>
      </c>
      <c r="E34" s="259">
        <v>0.61</v>
      </c>
      <c r="F34" s="268">
        <v>164700</v>
      </c>
      <c r="G34" s="268" t="s">
        <v>70</v>
      </c>
      <c r="H34" s="268" t="s">
        <v>71</v>
      </c>
      <c r="I34" s="260" t="s">
        <v>66</v>
      </c>
      <c r="J34" s="260" t="s">
        <v>72</v>
      </c>
      <c r="K34" s="269"/>
      <c r="L34" s="269"/>
      <c r="M34" s="263">
        <f>F34-N34</f>
        <v>164700</v>
      </c>
      <c r="N34" s="264">
        <f aca="true" t="shared" si="0" ref="N34:N97">SUM(O34:Z34)</f>
        <v>0</v>
      </c>
      <c r="O34" s="270"/>
      <c r="P34" s="250"/>
      <c r="Q34" s="177"/>
      <c r="R34" s="178"/>
      <c r="S34" s="179"/>
      <c r="T34" s="180"/>
      <c r="U34" s="181"/>
      <c r="V34" s="182"/>
      <c r="W34" s="29"/>
      <c r="Y34" s="29"/>
      <c r="Z34" s="30"/>
      <c r="AA34" s="271"/>
      <c r="AB34" s="272"/>
      <c r="AC34" s="273"/>
      <c r="AD34" s="272"/>
      <c r="AE34" s="274"/>
      <c r="AF34" s="274"/>
      <c r="AG34" s="274"/>
      <c r="AH34" s="273"/>
      <c r="AI34" s="22"/>
      <c r="AJ34" s="23"/>
    </row>
    <row r="35" spans="1:36" s="14" customFormat="1" ht="63">
      <c r="A35" s="276"/>
      <c r="B35" s="256" t="s">
        <v>73</v>
      </c>
      <c r="C35" s="275" t="s">
        <v>69</v>
      </c>
      <c r="D35" s="258" t="s">
        <v>47</v>
      </c>
      <c r="E35" s="259">
        <v>0.85</v>
      </c>
      <c r="F35" s="268">
        <v>229500</v>
      </c>
      <c r="G35" s="268" t="s">
        <v>70</v>
      </c>
      <c r="H35" s="268" t="s">
        <v>71</v>
      </c>
      <c r="I35" s="260" t="s">
        <v>66</v>
      </c>
      <c r="J35" s="260" t="s">
        <v>72</v>
      </c>
      <c r="K35" s="269"/>
      <c r="L35" s="269"/>
      <c r="M35" s="263">
        <f>F35-N35</f>
        <v>229500</v>
      </c>
      <c r="N35" s="264">
        <f t="shared" si="0"/>
        <v>0</v>
      </c>
      <c r="O35" s="270"/>
      <c r="P35" s="250"/>
      <c r="Q35" s="177"/>
      <c r="R35" s="178"/>
      <c r="S35" s="179"/>
      <c r="T35" s="180"/>
      <c r="U35" s="181"/>
      <c r="V35" s="182"/>
      <c r="W35" s="29"/>
      <c r="Y35" s="29"/>
      <c r="Z35" s="30"/>
      <c r="AA35" s="271"/>
      <c r="AB35" s="272"/>
      <c r="AC35" s="273"/>
      <c r="AD35" s="272"/>
      <c r="AE35" s="274"/>
      <c r="AF35" s="274"/>
      <c r="AG35" s="274"/>
      <c r="AH35" s="273"/>
      <c r="AI35" s="22"/>
      <c r="AJ35" s="23"/>
    </row>
    <row r="36" spans="1:36" s="14" customFormat="1" ht="15.75">
      <c r="A36" s="1019"/>
      <c r="B36" s="241" t="s">
        <v>74</v>
      </c>
      <c r="C36" s="242"/>
      <c r="D36" s="258"/>
      <c r="E36" s="259"/>
      <c r="F36" s="268"/>
      <c r="G36" s="268"/>
      <c r="H36" s="268"/>
      <c r="I36" s="268"/>
      <c r="J36" s="268"/>
      <c r="K36" s="269"/>
      <c r="L36" s="269"/>
      <c r="M36" s="263"/>
      <c r="N36" s="264"/>
      <c r="O36" s="270"/>
      <c r="P36" s="250"/>
      <c r="Q36" s="177"/>
      <c r="R36" s="178"/>
      <c r="S36" s="179"/>
      <c r="T36" s="180"/>
      <c r="U36" s="181"/>
      <c r="V36" s="182"/>
      <c r="W36" s="29"/>
      <c r="Y36" s="29"/>
      <c r="Z36" s="30"/>
      <c r="AA36" s="277"/>
      <c r="AB36" s="278"/>
      <c r="AC36" s="279"/>
      <c r="AD36" s="278"/>
      <c r="AE36" s="280"/>
      <c r="AF36" s="280"/>
      <c r="AG36" s="280"/>
      <c r="AH36" s="279"/>
      <c r="AI36" s="22"/>
      <c r="AJ36" s="23"/>
    </row>
    <row r="37" spans="1:36" s="14" customFormat="1" ht="63">
      <c r="A37" s="1019"/>
      <c r="B37" s="256" t="s">
        <v>75</v>
      </c>
      <c r="C37" s="281" t="s">
        <v>69</v>
      </c>
      <c r="D37" s="258" t="s">
        <v>47</v>
      </c>
      <c r="E37" s="282">
        <v>0.474</v>
      </c>
      <c r="F37" s="268">
        <v>127980</v>
      </c>
      <c r="G37" s="268" t="s">
        <v>70</v>
      </c>
      <c r="H37" s="268" t="s">
        <v>71</v>
      </c>
      <c r="I37" s="260" t="s">
        <v>66</v>
      </c>
      <c r="J37" s="260" t="s">
        <v>72</v>
      </c>
      <c r="K37" s="269"/>
      <c r="L37" s="269"/>
      <c r="M37" s="263">
        <f>F37-N37</f>
        <v>127980</v>
      </c>
      <c r="N37" s="264">
        <f t="shared" si="0"/>
        <v>0</v>
      </c>
      <c r="O37" s="270"/>
      <c r="P37" s="250"/>
      <c r="Q37" s="177"/>
      <c r="R37" s="178"/>
      <c r="S37" s="179"/>
      <c r="T37" s="180"/>
      <c r="U37" s="181"/>
      <c r="V37" s="182"/>
      <c r="W37" s="29"/>
      <c r="Y37" s="29"/>
      <c r="Z37" s="30"/>
      <c r="AA37" s="283"/>
      <c r="AB37" s="284"/>
      <c r="AC37" s="285"/>
      <c r="AD37" s="284"/>
      <c r="AE37" s="286"/>
      <c r="AF37" s="286"/>
      <c r="AG37" s="286"/>
      <c r="AH37" s="285"/>
      <c r="AI37" s="22"/>
      <c r="AJ37" s="23"/>
    </row>
    <row r="38" spans="1:36" s="14" customFormat="1" ht="15.75">
      <c r="A38" s="1019"/>
      <c r="B38" s="241" t="s">
        <v>76</v>
      </c>
      <c r="C38" s="281"/>
      <c r="D38" s="258"/>
      <c r="E38" s="287"/>
      <c r="F38" s="268"/>
      <c r="G38" s="268"/>
      <c r="H38" s="268"/>
      <c r="I38" s="268"/>
      <c r="J38" s="268"/>
      <c r="K38" s="269"/>
      <c r="L38" s="269"/>
      <c r="M38" s="263"/>
      <c r="N38" s="264"/>
      <c r="O38" s="270"/>
      <c r="P38" s="250"/>
      <c r="Q38" s="177"/>
      <c r="R38" s="178"/>
      <c r="S38" s="179"/>
      <c r="T38" s="180"/>
      <c r="U38" s="181"/>
      <c r="V38" s="182"/>
      <c r="W38" s="288"/>
      <c r="Y38" s="29"/>
      <c r="Z38" s="30"/>
      <c r="AA38" s="289"/>
      <c r="AB38" s="290"/>
      <c r="AC38" s="291"/>
      <c r="AD38" s="292"/>
      <c r="AE38" s="293"/>
      <c r="AF38" s="293"/>
      <c r="AG38" s="293"/>
      <c r="AH38" s="294"/>
      <c r="AI38" s="255"/>
      <c r="AJ38" s="23"/>
    </row>
    <row r="39" spans="1:36" s="14" customFormat="1" ht="63">
      <c r="A39" s="1019"/>
      <c r="B39" s="256" t="s">
        <v>77</v>
      </c>
      <c r="C39" s="281" t="s">
        <v>69</v>
      </c>
      <c r="D39" s="258" t="s">
        <v>47</v>
      </c>
      <c r="E39" s="287">
        <v>0.3</v>
      </c>
      <c r="F39" s="268">
        <v>81000</v>
      </c>
      <c r="G39" s="268" t="s">
        <v>78</v>
      </c>
      <c r="H39" s="268" t="s">
        <v>79</v>
      </c>
      <c r="I39" s="260" t="s">
        <v>66</v>
      </c>
      <c r="J39" s="260" t="s">
        <v>72</v>
      </c>
      <c r="K39" s="269"/>
      <c r="L39" s="269"/>
      <c r="M39" s="263">
        <f>F39-N39</f>
        <v>75592.93</v>
      </c>
      <c r="N39" s="264">
        <f t="shared" si="0"/>
        <v>5407.07</v>
      </c>
      <c r="O39" s="270"/>
      <c r="P39" s="250"/>
      <c r="Q39" s="177"/>
      <c r="R39" s="178">
        <v>5407.07</v>
      </c>
      <c r="S39" s="177"/>
      <c r="T39" s="295"/>
      <c r="U39" s="270"/>
      <c r="V39" s="296"/>
      <c r="W39" s="297"/>
      <c r="X39" s="298"/>
      <c r="Y39" s="29"/>
      <c r="Z39" s="30"/>
      <c r="AA39" s="289"/>
      <c r="AB39" s="290"/>
      <c r="AC39" s="291"/>
      <c r="AD39" s="292"/>
      <c r="AE39" s="293"/>
      <c r="AF39" s="293"/>
      <c r="AG39" s="293"/>
      <c r="AH39" s="294"/>
      <c r="AI39" s="255"/>
      <c r="AJ39" s="23"/>
    </row>
    <row r="40" spans="1:36" s="14" customFormat="1" ht="21.75" customHeight="1">
      <c r="A40" s="299"/>
      <c r="B40" s="300" t="s">
        <v>80</v>
      </c>
      <c r="C40" s="281"/>
      <c r="D40" s="301"/>
      <c r="E40" s="302"/>
      <c r="F40" s="303"/>
      <c r="G40" s="303"/>
      <c r="H40" s="303"/>
      <c r="I40" s="303"/>
      <c r="J40" s="303"/>
      <c r="K40" s="304"/>
      <c r="L40" s="304"/>
      <c r="M40" s="263"/>
      <c r="N40" s="264"/>
      <c r="O40" s="270"/>
      <c r="P40" s="250"/>
      <c r="Q40" s="177"/>
      <c r="R40" s="178"/>
      <c r="S40" s="179"/>
      <c r="T40" s="180"/>
      <c r="U40" s="305"/>
      <c r="V40" s="182"/>
      <c r="W40" s="288"/>
      <c r="Y40" s="29"/>
      <c r="Z40" s="30"/>
      <c r="AA40" s="289"/>
      <c r="AB40" s="290"/>
      <c r="AC40" s="291"/>
      <c r="AD40" s="292"/>
      <c r="AE40" s="293"/>
      <c r="AF40" s="293"/>
      <c r="AG40" s="293"/>
      <c r="AH40" s="294"/>
      <c r="AI40" s="255"/>
      <c r="AJ40" s="23"/>
    </row>
    <row r="41" spans="1:36" s="14" customFormat="1" ht="63">
      <c r="A41" s="299"/>
      <c r="B41" s="306" t="s">
        <v>81</v>
      </c>
      <c r="C41" s="257" t="s">
        <v>82</v>
      </c>
      <c r="D41" s="301" t="s">
        <v>47</v>
      </c>
      <c r="E41" s="302"/>
      <c r="F41" s="303">
        <v>20000</v>
      </c>
      <c r="G41" s="261">
        <v>2024</v>
      </c>
      <c r="H41" s="261">
        <v>2024</v>
      </c>
      <c r="I41" s="260" t="s">
        <v>66</v>
      </c>
      <c r="J41" s="303"/>
      <c r="K41" s="304"/>
      <c r="L41" s="304"/>
      <c r="M41" s="263">
        <f aca="true" t="shared" si="1" ref="M41:M58">F41-N41</f>
        <v>20000</v>
      </c>
      <c r="N41" s="264">
        <f t="shared" si="0"/>
        <v>0</v>
      </c>
      <c r="O41" s="270"/>
      <c r="P41" s="250"/>
      <c r="Q41" s="177"/>
      <c r="R41" s="178"/>
      <c r="S41" s="179"/>
      <c r="T41" s="180"/>
      <c r="U41" s="305"/>
      <c r="V41" s="182"/>
      <c r="W41" s="288"/>
      <c r="Y41" s="29"/>
      <c r="Z41" s="30"/>
      <c r="AA41" s="289"/>
      <c r="AB41" s="290"/>
      <c r="AC41" s="291"/>
      <c r="AD41" s="292"/>
      <c r="AE41" s="293"/>
      <c r="AF41" s="293"/>
      <c r="AG41" s="293"/>
      <c r="AH41" s="294"/>
      <c r="AI41" s="255"/>
      <c r="AJ41" s="23"/>
    </row>
    <row r="42" spans="1:36" s="14" customFormat="1" ht="63.75" thickBot="1">
      <c r="A42" s="299"/>
      <c r="B42" s="306" t="s">
        <v>83</v>
      </c>
      <c r="C42" s="257" t="s">
        <v>82</v>
      </c>
      <c r="D42" s="301" t="s">
        <v>47</v>
      </c>
      <c r="E42" s="302"/>
      <c r="F42" s="303">
        <v>20000</v>
      </c>
      <c r="G42" s="261">
        <v>2024</v>
      </c>
      <c r="H42" s="261">
        <v>2024</v>
      </c>
      <c r="I42" s="260" t="s">
        <v>66</v>
      </c>
      <c r="J42" s="303"/>
      <c r="K42" s="304"/>
      <c r="L42" s="304"/>
      <c r="M42" s="263">
        <f t="shared" si="1"/>
        <v>20000</v>
      </c>
      <c r="N42" s="264">
        <f t="shared" si="0"/>
        <v>0</v>
      </c>
      <c r="O42" s="270"/>
      <c r="P42" s="250"/>
      <c r="Q42" s="177"/>
      <c r="R42" s="178"/>
      <c r="S42" s="179"/>
      <c r="T42" s="180"/>
      <c r="U42" s="181"/>
      <c r="V42" s="182"/>
      <c r="W42" s="288"/>
      <c r="Y42" s="29"/>
      <c r="Z42" s="30"/>
      <c r="AA42" s="289"/>
      <c r="AB42" s="290"/>
      <c r="AC42" s="291"/>
      <c r="AD42" s="292"/>
      <c r="AE42" s="293"/>
      <c r="AF42" s="293"/>
      <c r="AG42" s="293"/>
      <c r="AH42" s="294"/>
      <c r="AI42" s="255"/>
      <c r="AJ42" s="23"/>
    </row>
    <row r="43" spans="1:35" ht="21.75" customHeight="1" hidden="1">
      <c r="A43" s="307"/>
      <c r="B43" s="308"/>
      <c r="C43" s="309"/>
      <c r="D43" s="310"/>
      <c r="E43" s="311"/>
      <c r="F43" s="312"/>
      <c r="G43" s="312"/>
      <c r="H43" s="312"/>
      <c r="I43" s="312"/>
      <c r="J43" s="312"/>
      <c r="K43" s="313"/>
      <c r="L43" s="313"/>
      <c r="M43" s="263">
        <f t="shared" si="1"/>
        <v>0</v>
      </c>
      <c r="N43" s="264">
        <f t="shared" si="0"/>
        <v>0</v>
      </c>
      <c r="O43" s="270"/>
      <c r="P43" s="250"/>
      <c r="Q43" s="177"/>
      <c r="R43" s="178"/>
      <c r="S43" s="179"/>
      <c r="T43" s="180"/>
      <c r="V43" s="182"/>
      <c r="W43" s="288"/>
      <c r="AA43" s="314"/>
      <c r="AB43" s="315"/>
      <c r="AC43" s="316"/>
      <c r="AD43" s="317"/>
      <c r="AE43" s="318"/>
      <c r="AF43" s="318"/>
      <c r="AG43" s="318"/>
      <c r="AH43" s="319"/>
      <c r="AI43" s="320"/>
    </row>
    <row r="44" spans="1:36" s="14" customFormat="1" ht="21.75" customHeight="1" hidden="1">
      <c r="A44" s="307"/>
      <c r="B44" s="322"/>
      <c r="C44" s="309"/>
      <c r="D44" s="310" t="s">
        <v>47</v>
      </c>
      <c r="E44" s="311"/>
      <c r="F44" s="312"/>
      <c r="G44" s="312"/>
      <c r="H44" s="312"/>
      <c r="I44" s="312"/>
      <c r="J44" s="312"/>
      <c r="K44" s="313"/>
      <c r="L44" s="313"/>
      <c r="M44" s="263">
        <f t="shared" si="1"/>
        <v>0</v>
      </c>
      <c r="N44" s="264">
        <f t="shared" si="0"/>
        <v>0</v>
      </c>
      <c r="O44" s="270"/>
      <c r="P44" s="250"/>
      <c r="Q44" s="177"/>
      <c r="R44" s="178"/>
      <c r="S44" s="179"/>
      <c r="T44" s="180"/>
      <c r="U44" s="29"/>
      <c r="V44" s="182"/>
      <c r="W44" s="288"/>
      <c r="Y44" s="29"/>
      <c r="Z44" s="30"/>
      <c r="AA44" s="289"/>
      <c r="AB44" s="290"/>
      <c r="AC44" s="291"/>
      <c r="AD44" s="292"/>
      <c r="AE44" s="293"/>
      <c r="AF44" s="293"/>
      <c r="AG44" s="293"/>
      <c r="AH44" s="294"/>
      <c r="AI44" s="255"/>
      <c r="AJ44" s="23"/>
    </row>
    <row r="45" spans="1:35" ht="21.75" customHeight="1" hidden="1">
      <c r="A45" s="307"/>
      <c r="B45" s="323"/>
      <c r="C45" s="309"/>
      <c r="D45" s="310"/>
      <c r="E45" s="311"/>
      <c r="F45" s="312"/>
      <c r="G45" s="312"/>
      <c r="H45" s="312"/>
      <c r="I45" s="312"/>
      <c r="J45" s="312"/>
      <c r="K45" s="313"/>
      <c r="L45" s="313"/>
      <c r="M45" s="263">
        <f t="shared" si="1"/>
        <v>0</v>
      </c>
      <c r="N45" s="264">
        <f t="shared" si="0"/>
        <v>0</v>
      </c>
      <c r="O45" s="270"/>
      <c r="P45" s="250"/>
      <c r="Q45" s="177"/>
      <c r="R45" s="178"/>
      <c r="S45" s="179"/>
      <c r="T45" s="180"/>
      <c r="U45" s="181"/>
      <c r="V45" s="182"/>
      <c r="W45" s="288"/>
      <c r="AA45" s="314"/>
      <c r="AB45" s="315"/>
      <c r="AC45" s="316"/>
      <c r="AD45" s="317"/>
      <c r="AE45" s="318"/>
      <c r="AF45" s="318"/>
      <c r="AG45" s="318"/>
      <c r="AH45" s="319"/>
      <c r="AI45" s="320"/>
    </row>
    <row r="46" spans="1:35" ht="21.75" customHeight="1" hidden="1">
      <c r="A46" s="1020">
        <v>11</v>
      </c>
      <c r="B46" s="324"/>
      <c r="C46" s="325"/>
      <c r="D46" s="326" t="s">
        <v>47</v>
      </c>
      <c r="E46" s="327"/>
      <c r="F46" s="312"/>
      <c r="G46" s="312"/>
      <c r="H46" s="312"/>
      <c r="I46" s="312"/>
      <c r="J46" s="312"/>
      <c r="K46" s="313"/>
      <c r="L46" s="313"/>
      <c r="M46" s="263">
        <f t="shared" si="1"/>
        <v>0</v>
      </c>
      <c r="N46" s="264">
        <f t="shared" si="0"/>
        <v>0</v>
      </c>
      <c r="O46" s="270"/>
      <c r="P46" s="250"/>
      <c r="Q46" s="177"/>
      <c r="R46" s="178"/>
      <c r="S46" s="179"/>
      <c r="T46" s="180"/>
      <c r="U46" s="305"/>
      <c r="V46" s="182"/>
      <c r="W46" s="288"/>
      <c r="AA46" s="314"/>
      <c r="AB46" s="315"/>
      <c r="AC46" s="316"/>
      <c r="AD46" s="317"/>
      <c r="AE46" s="318"/>
      <c r="AF46" s="318"/>
      <c r="AG46" s="318"/>
      <c r="AH46" s="319"/>
      <c r="AI46" s="320"/>
    </row>
    <row r="47" spans="1:35" ht="21.75" customHeight="1" hidden="1">
      <c r="A47" s="1020"/>
      <c r="B47" s="328"/>
      <c r="C47" s="309"/>
      <c r="D47" s="326"/>
      <c r="E47" s="327"/>
      <c r="F47" s="329"/>
      <c r="G47" s="329"/>
      <c r="H47" s="329"/>
      <c r="I47" s="329"/>
      <c r="J47" s="329"/>
      <c r="K47" s="330"/>
      <c r="L47" s="330"/>
      <c r="M47" s="263">
        <f t="shared" si="1"/>
        <v>0</v>
      </c>
      <c r="N47" s="264">
        <f t="shared" si="0"/>
        <v>0</v>
      </c>
      <c r="O47" s="270"/>
      <c r="P47" s="250"/>
      <c r="Q47" s="177"/>
      <c r="R47" s="178"/>
      <c r="S47" s="179"/>
      <c r="T47" s="180"/>
      <c r="U47" s="181"/>
      <c r="V47" s="182"/>
      <c r="W47" s="288"/>
      <c r="AA47" s="314"/>
      <c r="AB47" s="315"/>
      <c r="AC47" s="316"/>
      <c r="AD47" s="317"/>
      <c r="AE47" s="318"/>
      <c r="AF47" s="318"/>
      <c r="AG47" s="318"/>
      <c r="AH47" s="319"/>
      <c r="AI47" s="320"/>
    </row>
    <row r="48" spans="1:35" ht="21.75" customHeight="1" hidden="1">
      <c r="A48" s="307">
        <v>12</v>
      </c>
      <c r="B48" s="308"/>
      <c r="C48" s="331"/>
      <c r="D48" s="326" t="s">
        <v>47</v>
      </c>
      <c r="E48" s="327"/>
      <c r="F48" s="329"/>
      <c r="G48" s="329"/>
      <c r="H48" s="329"/>
      <c r="I48" s="329"/>
      <c r="J48" s="329"/>
      <c r="K48" s="330"/>
      <c r="L48" s="330"/>
      <c r="M48" s="263">
        <f t="shared" si="1"/>
        <v>0</v>
      </c>
      <c r="N48" s="264">
        <f t="shared" si="0"/>
        <v>0</v>
      </c>
      <c r="O48" s="270"/>
      <c r="P48" s="250"/>
      <c r="Q48" s="177"/>
      <c r="R48" s="178"/>
      <c r="S48" s="179"/>
      <c r="T48" s="180"/>
      <c r="U48" s="305"/>
      <c r="V48" s="182"/>
      <c r="W48" s="288"/>
      <c r="AA48" s="314"/>
      <c r="AB48" s="315"/>
      <c r="AC48" s="316"/>
      <c r="AD48" s="317"/>
      <c r="AE48" s="318"/>
      <c r="AF48" s="318"/>
      <c r="AG48" s="318"/>
      <c r="AH48" s="319"/>
      <c r="AI48" s="320"/>
    </row>
    <row r="49" spans="1:35" ht="21.75" customHeight="1" hidden="1">
      <c r="A49" s="307">
        <f>A48+1</f>
        <v>13</v>
      </c>
      <c r="B49" s="308"/>
      <c r="C49" s="331"/>
      <c r="D49" s="310" t="s">
        <v>47</v>
      </c>
      <c r="E49" s="311"/>
      <c r="F49" s="312"/>
      <c r="G49" s="312"/>
      <c r="H49" s="312"/>
      <c r="I49" s="312"/>
      <c r="J49" s="312"/>
      <c r="K49" s="313"/>
      <c r="L49" s="313"/>
      <c r="M49" s="263">
        <f t="shared" si="1"/>
        <v>0</v>
      </c>
      <c r="N49" s="264">
        <f t="shared" si="0"/>
        <v>0</v>
      </c>
      <c r="O49" s="270"/>
      <c r="P49" s="250"/>
      <c r="Q49" s="177"/>
      <c r="R49" s="178"/>
      <c r="S49" s="179"/>
      <c r="T49" s="180"/>
      <c r="U49" s="305"/>
      <c r="V49" s="182"/>
      <c r="W49" s="288"/>
      <c r="AA49" s="314"/>
      <c r="AB49" s="315"/>
      <c r="AC49" s="316"/>
      <c r="AD49" s="317"/>
      <c r="AE49" s="318"/>
      <c r="AF49" s="318"/>
      <c r="AG49" s="318"/>
      <c r="AH49" s="319"/>
      <c r="AI49" s="320"/>
    </row>
    <row r="50" spans="1:35" ht="21.75" customHeight="1" hidden="1">
      <c r="A50" s="307">
        <f aca="true" t="shared" si="2" ref="A50:A58">A49+1</f>
        <v>14</v>
      </c>
      <c r="B50" s="308"/>
      <c r="C50" s="331"/>
      <c r="D50" s="310" t="s">
        <v>47</v>
      </c>
      <c r="E50" s="311"/>
      <c r="F50" s="312"/>
      <c r="G50" s="312"/>
      <c r="H50" s="312"/>
      <c r="I50" s="312"/>
      <c r="J50" s="312"/>
      <c r="K50" s="313"/>
      <c r="L50" s="313"/>
      <c r="M50" s="263">
        <f t="shared" si="1"/>
        <v>0</v>
      </c>
      <c r="N50" s="264">
        <f t="shared" si="0"/>
        <v>0</v>
      </c>
      <c r="O50" s="270"/>
      <c r="P50" s="250"/>
      <c r="Q50" s="177"/>
      <c r="R50" s="178"/>
      <c r="S50" s="179"/>
      <c r="T50" s="180"/>
      <c r="U50" s="305"/>
      <c r="V50" s="182"/>
      <c r="AA50" s="314"/>
      <c r="AB50" s="315"/>
      <c r="AC50" s="316"/>
      <c r="AD50" s="317"/>
      <c r="AE50" s="318"/>
      <c r="AF50" s="318"/>
      <c r="AG50" s="318"/>
      <c r="AH50" s="319"/>
      <c r="AI50" s="320"/>
    </row>
    <row r="51" spans="1:35" ht="21.75" customHeight="1" hidden="1">
      <c r="A51" s="307">
        <f t="shared" si="2"/>
        <v>15</v>
      </c>
      <c r="B51" s="323"/>
      <c r="C51" s="331"/>
      <c r="D51" s="310" t="s">
        <v>47</v>
      </c>
      <c r="E51" s="311"/>
      <c r="F51" s="312"/>
      <c r="G51" s="312"/>
      <c r="H51" s="312"/>
      <c r="I51" s="312"/>
      <c r="J51" s="312"/>
      <c r="K51" s="313"/>
      <c r="L51" s="313"/>
      <c r="M51" s="263">
        <f t="shared" si="1"/>
        <v>0</v>
      </c>
      <c r="N51" s="264">
        <f t="shared" si="0"/>
        <v>0</v>
      </c>
      <c r="O51" s="270"/>
      <c r="P51" s="250"/>
      <c r="Q51" s="177"/>
      <c r="R51" s="178"/>
      <c r="S51" s="179"/>
      <c r="T51" s="180"/>
      <c r="U51" s="181"/>
      <c r="V51" s="182"/>
      <c r="W51" s="332"/>
      <c r="AA51" s="314"/>
      <c r="AB51" s="315"/>
      <c r="AC51" s="316"/>
      <c r="AD51" s="317"/>
      <c r="AE51" s="318"/>
      <c r="AF51" s="318"/>
      <c r="AG51" s="318"/>
      <c r="AH51" s="319"/>
      <c r="AI51" s="320"/>
    </row>
    <row r="52" spans="1:35" ht="21.75" customHeight="1" hidden="1">
      <c r="A52" s="307">
        <f t="shared" si="2"/>
        <v>16</v>
      </c>
      <c r="B52" s="308"/>
      <c r="C52" s="325"/>
      <c r="D52" s="326" t="s">
        <v>47</v>
      </c>
      <c r="E52" s="327"/>
      <c r="F52" s="329"/>
      <c r="G52" s="329"/>
      <c r="H52" s="329"/>
      <c r="I52" s="329"/>
      <c r="J52" s="329"/>
      <c r="K52" s="330"/>
      <c r="L52" s="330"/>
      <c r="M52" s="263">
        <f t="shared" si="1"/>
        <v>0</v>
      </c>
      <c r="N52" s="264">
        <f t="shared" si="0"/>
        <v>0</v>
      </c>
      <c r="O52" s="270"/>
      <c r="P52" s="250"/>
      <c r="Q52" s="177"/>
      <c r="R52" s="178"/>
      <c r="S52" s="179"/>
      <c r="T52" s="180"/>
      <c r="U52" s="181"/>
      <c r="V52" s="182"/>
      <c r="AA52" s="314"/>
      <c r="AB52" s="315"/>
      <c r="AC52" s="316"/>
      <c r="AD52" s="317"/>
      <c r="AE52" s="318"/>
      <c r="AF52" s="318"/>
      <c r="AG52" s="318"/>
      <c r="AH52" s="319"/>
      <c r="AI52" s="320"/>
    </row>
    <row r="53" spans="1:35" ht="21.75" customHeight="1" hidden="1">
      <c r="A53" s="307">
        <f t="shared" si="2"/>
        <v>17</v>
      </c>
      <c r="B53" s="308"/>
      <c r="C53" s="325"/>
      <c r="D53" s="326" t="s">
        <v>47</v>
      </c>
      <c r="E53" s="311"/>
      <c r="F53" s="312"/>
      <c r="G53" s="312"/>
      <c r="H53" s="312"/>
      <c r="I53" s="312"/>
      <c r="J53" s="312"/>
      <c r="K53" s="313"/>
      <c r="L53" s="313"/>
      <c r="M53" s="263">
        <f t="shared" si="1"/>
        <v>0</v>
      </c>
      <c r="N53" s="264">
        <f t="shared" si="0"/>
        <v>0</v>
      </c>
      <c r="O53" s="270"/>
      <c r="P53" s="250"/>
      <c r="Q53" s="177"/>
      <c r="R53" s="178"/>
      <c r="S53" s="179"/>
      <c r="T53" s="180"/>
      <c r="U53" s="181"/>
      <c r="V53" s="182"/>
      <c r="W53" s="332"/>
      <c r="AA53" s="314"/>
      <c r="AB53" s="315"/>
      <c r="AC53" s="316"/>
      <c r="AD53" s="317"/>
      <c r="AE53" s="318"/>
      <c r="AF53" s="318"/>
      <c r="AG53" s="318"/>
      <c r="AH53" s="319"/>
      <c r="AI53" s="320"/>
    </row>
    <row r="54" spans="1:35" ht="21.75" customHeight="1" hidden="1">
      <c r="A54" s="307">
        <f t="shared" si="2"/>
        <v>18</v>
      </c>
      <c r="B54" s="333"/>
      <c r="C54" s="334"/>
      <c r="D54" s="326" t="s">
        <v>47</v>
      </c>
      <c r="E54" s="327"/>
      <c r="F54" s="329"/>
      <c r="G54" s="329"/>
      <c r="H54" s="329"/>
      <c r="I54" s="329"/>
      <c r="J54" s="329"/>
      <c r="K54" s="330"/>
      <c r="L54" s="330"/>
      <c r="M54" s="263">
        <f t="shared" si="1"/>
        <v>0</v>
      </c>
      <c r="N54" s="264">
        <f t="shared" si="0"/>
        <v>0</v>
      </c>
      <c r="O54" s="270"/>
      <c r="P54" s="250"/>
      <c r="Q54" s="177"/>
      <c r="R54" s="178"/>
      <c r="S54" s="179"/>
      <c r="T54" s="180"/>
      <c r="U54" s="181"/>
      <c r="V54" s="182"/>
      <c r="AA54" s="314"/>
      <c r="AB54" s="315"/>
      <c r="AC54" s="316"/>
      <c r="AD54" s="317"/>
      <c r="AE54" s="318"/>
      <c r="AF54" s="318"/>
      <c r="AG54" s="318"/>
      <c r="AH54" s="319"/>
      <c r="AI54" s="320"/>
    </row>
    <row r="55" spans="1:35" ht="21.75" customHeight="1" hidden="1">
      <c r="A55" s="307">
        <f t="shared" si="2"/>
        <v>19</v>
      </c>
      <c r="B55" s="308"/>
      <c r="C55" s="334"/>
      <c r="D55" s="326" t="s">
        <v>47</v>
      </c>
      <c r="E55" s="327"/>
      <c r="F55" s="329"/>
      <c r="G55" s="329"/>
      <c r="H55" s="329"/>
      <c r="I55" s="329"/>
      <c r="J55" s="329"/>
      <c r="K55" s="330"/>
      <c r="L55" s="330"/>
      <c r="M55" s="263">
        <f t="shared" si="1"/>
        <v>0</v>
      </c>
      <c r="N55" s="264">
        <f t="shared" si="0"/>
        <v>0</v>
      </c>
      <c r="O55" s="270"/>
      <c r="P55" s="250"/>
      <c r="Q55" s="177"/>
      <c r="R55" s="178"/>
      <c r="S55" s="179"/>
      <c r="T55" s="180"/>
      <c r="U55" s="181"/>
      <c r="V55" s="182"/>
      <c r="AA55" s="314"/>
      <c r="AB55" s="315"/>
      <c r="AC55" s="316"/>
      <c r="AD55" s="317"/>
      <c r="AE55" s="318"/>
      <c r="AF55" s="318"/>
      <c r="AG55" s="318"/>
      <c r="AH55" s="319"/>
      <c r="AI55" s="320"/>
    </row>
    <row r="56" spans="1:35" ht="21.75" customHeight="1" hidden="1">
      <c r="A56" s="307">
        <f t="shared" si="2"/>
        <v>20</v>
      </c>
      <c r="B56" s="323"/>
      <c r="C56" s="334"/>
      <c r="D56" s="326" t="s">
        <v>47</v>
      </c>
      <c r="E56" s="335"/>
      <c r="F56" s="336"/>
      <c r="G56" s="336"/>
      <c r="H56" s="336"/>
      <c r="I56" s="336"/>
      <c r="J56" s="336"/>
      <c r="K56" s="337"/>
      <c r="L56" s="337"/>
      <c r="M56" s="263">
        <f t="shared" si="1"/>
        <v>0</v>
      </c>
      <c r="N56" s="264">
        <f t="shared" si="0"/>
        <v>0</v>
      </c>
      <c r="P56" s="250"/>
      <c r="Q56" s="177"/>
      <c r="R56" s="178"/>
      <c r="S56" s="179"/>
      <c r="T56" s="180"/>
      <c r="U56" s="181"/>
      <c r="V56" s="182"/>
      <c r="AA56" s="314"/>
      <c r="AB56" s="315"/>
      <c r="AC56" s="316"/>
      <c r="AD56" s="317"/>
      <c r="AE56" s="318"/>
      <c r="AF56" s="318"/>
      <c r="AG56" s="318"/>
      <c r="AH56" s="319"/>
      <c r="AI56" s="320"/>
    </row>
    <row r="57" spans="1:35" ht="21.75" customHeight="1" hidden="1">
      <c r="A57" s="307">
        <f t="shared" si="2"/>
        <v>21</v>
      </c>
      <c r="B57" s="323"/>
      <c r="C57" s="334"/>
      <c r="D57" s="326" t="s">
        <v>47</v>
      </c>
      <c r="E57" s="335"/>
      <c r="F57" s="336"/>
      <c r="G57" s="336"/>
      <c r="H57" s="336"/>
      <c r="I57" s="336"/>
      <c r="J57" s="336"/>
      <c r="K57" s="337"/>
      <c r="L57" s="337"/>
      <c r="M57" s="263">
        <f t="shared" si="1"/>
        <v>0</v>
      </c>
      <c r="N57" s="264">
        <f t="shared" si="0"/>
        <v>0</v>
      </c>
      <c r="P57" s="250"/>
      <c r="Q57" s="177"/>
      <c r="R57" s="178"/>
      <c r="S57" s="179"/>
      <c r="T57" s="180"/>
      <c r="U57" s="181"/>
      <c r="V57" s="182"/>
      <c r="W57" s="332"/>
      <c r="AA57" s="314"/>
      <c r="AB57" s="315"/>
      <c r="AC57" s="316"/>
      <c r="AD57" s="317"/>
      <c r="AE57" s="318"/>
      <c r="AF57" s="318"/>
      <c r="AG57" s="318"/>
      <c r="AH57" s="319"/>
      <c r="AI57" s="320"/>
    </row>
    <row r="58" spans="1:35" ht="21.75" customHeight="1" hidden="1">
      <c r="A58" s="338">
        <f t="shared" si="2"/>
        <v>22</v>
      </c>
      <c r="B58" s="339"/>
      <c r="C58" s="340"/>
      <c r="D58" s="341" t="s">
        <v>47</v>
      </c>
      <c r="E58" s="342"/>
      <c r="F58" s="343"/>
      <c r="G58" s="343"/>
      <c r="H58" s="343"/>
      <c r="I58" s="343"/>
      <c r="J58" s="343"/>
      <c r="K58" s="337"/>
      <c r="L58" s="337"/>
      <c r="M58" s="263">
        <f t="shared" si="1"/>
        <v>0</v>
      </c>
      <c r="N58" s="264">
        <f t="shared" si="0"/>
        <v>0</v>
      </c>
      <c r="P58" s="250"/>
      <c r="Q58" s="177"/>
      <c r="R58" s="178"/>
      <c r="S58" s="179"/>
      <c r="T58" s="180"/>
      <c r="U58" s="181"/>
      <c r="V58" s="180"/>
      <c r="AA58" s="314"/>
      <c r="AB58" s="315"/>
      <c r="AC58" s="316"/>
      <c r="AD58" s="317"/>
      <c r="AE58" s="318"/>
      <c r="AF58" s="318"/>
      <c r="AG58" s="318"/>
      <c r="AH58" s="319"/>
      <c r="AI58" s="320"/>
    </row>
    <row r="59" spans="1:36" s="233" customFormat="1" ht="35.25" customHeight="1" thickBot="1">
      <c r="A59" s="344" t="s">
        <v>84</v>
      </c>
      <c r="B59" s="345" t="s">
        <v>85</v>
      </c>
      <c r="C59" s="346"/>
      <c r="D59" s="347" t="s">
        <v>47</v>
      </c>
      <c r="E59" s="348">
        <f>SUM(E60:E66)</f>
        <v>1.585</v>
      </c>
      <c r="F59" s="349">
        <f>SUM(F60:F66)</f>
        <v>497000</v>
      </c>
      <c r="G59" s="349"/>
      <c r="H59" s="349"/>
      <c r="I59" s="349"/>
      <c r="J59" s="349"/>
      <c r="K59" s="350"/>
      <c r="L59" s="350"/>
      <c r="M59" s="263"/>
      <c r="N59" s="264">
        <f t="shared" si="0"/>
        <v>0</v>
      </c>
      <c r="O59" s="351"/>
      <c r="P59" s="225"/>
      <c r="Q59" s="226"/>
      <c r="R59" s="227"/>
      <c r="S59" s="228"/>
      <c r="T59" s="229"/>
      <c r="U59" s="230"/>
      <c r="V59" s="229"/>
      <c r="W59" s="232"/>
      <c r="Y59" s="232"/>
      <c r="Z59" s="234"/>
      <c r="AA59" s="352">
        <f>F66+F61+F62+F63+F64</f>
        <v>497000</v>
      </c>
      <c r="AB59" s="236"/>
      <c r="AC59" s="353"/>
      <c r="AD59" s="354"/>
      <c r="AE59" s="355"/>
      <c r="AF59" s="355"/>
      <c r="AG59" s="355"/>
      <c r="AH59" s="356"/>
      <c r="AI59" s="239" t="str">
        <f>IF(F59=AA59+AB59+AC59+AD59+AH59,"ОК")</f>
        <v>ОК</v>
      </c>
      <c r="AJ59" s="240"/>
    </row>
    <row r="60" spans="1:36" s="14" customFormat="1" ht="15.75">
      <c r="A60" s="1021"/>
      <c r="B60" s="357" t="s">
        <v>86</v>
      </c>
      <c r="C60" s="358"/>
      <c r="D60" s="359"/>
      <c r="E60" s="360"/>
      <c r="F60" s="361"/>
      <c r="G60" s="361"/>
      <c r="H60" s="361"/>
      <c r="I60" s="361"/>
      <c r="J60" s="361"/>
      <c r="K60" s="262"/>
      <c r="L60" s="262"/>
      <c r="M60" s="263"/>
      <c r="N60" s="264"/>
      <c r="O60" s="270"/>
      <c r="P60" s="250"/>
      <c r="Q60" s="177"/>
      <c r="R60" s="178"/>
      <c r="S60" s="179"/>
      <c r="T60" s="180"/>
      <c r="U60" s="181"/>
      <c r="V60" s="180"/>
      <c r="W60" s="29"/>
      <c r="Y60" s="29"/>
      <c r="Z60" s="30"/>
      <c r="AA60" s="289"/>
      <c r="AB60" s="290"/>
      <c r="AC60" s="291"/>
      <c r="AD60" s="292"/>
      <c r="AE60" s="293"/>
      <c r="AF60" s="293"/>
      <c r="AG60" s="293"/>
      <c r="AH60" s="294"/>
      <c r="AI60" s="255"/>
      <c r="AJ60" s="23"/>
    </row>
    <row r="61" spans="1:36" s="14" customFormat="1" ht="72.75" customHeight="1">
      <c r="A61" s="1009"/>
      <c r="B61" s="362" t="s">
        <v>87</v>
      </c>
      <c r="C61" s="358" t="s">
        <v>88</v>
      </c>
      <c r="D61" s="363" t="s">
        <v>47</v>
      </c>
      <c r="E61" s="364">
        <v>0.26</v>
      </c>
      <c r="F61" s="361">
        <v>50000</v>
      </c>
      <c r="G61" s="361" t="s">
        <v>89</v>
      </c>
      <c r="H61" s="361" t="s">
        <v>90</v>
      </c>
      <c r="I61" s="260" t="s">
        <v>66</v>
      </c>
      <c r="J61" s="361"/>
      <c r="K61" s="262"/>
      <c r="L61" s="262"/>
      <c r="M61" s="263">
        <f>F61-N61</f>
        <v>50000</v>
      </c>
      <c r="N61" s="264">
        <f t="shared" si="0"/>
        <v>0</v>
      </c>
      <c r="O61" s="270"/>
      <c r="P61" s="250"/>
      <c r="Q61" s="177"/>
      <c r="R61" s="178"/>
      <c r="S61" s="179"/>
      <c r="T61" s="180"/>
      <c r="U61" s="181"/>
      <c r="V61" s="180"/>
      <c r="W61" s="29"/>
      <c r="Y61" s="29"/>
      <c r="Z61" s="30"/>
      <c r="AA61" s="289"/>
      <c r="AB61" s="290"/>
      <c r="AC61" s="291"/>
      <c r="AD61" s="292"/>
      <c r="AE61" s="293"/>
      <c r="AF61" s="293"/>
      <c r="AG61" s="293"/>
      <c r="AH61" s="294"/>
      <c r="AI61" s="255"/>
      <c r="AJ61" s="23"/>
    </row>
    <row r="62" spans="1:36" s="14" customFormat="1" ht="75.75" customHeight="1">
      <c r="A62" s="365"/>
      <c r="B62" s="362" t="s">
        <v>91</v>
      </c>
      <c r="C62" s="281" t="s">
        <v>69</v>
      </c>
      <c r="D62" s="363" t="s">
        <v>47</v>
      </c>
      <c r="E62" s="364">
        <v>0.59</v>
      </c>
      <c r="F62" s="361">
        <v>177000</v>
      </c>
      <c r="G62" s="361" t="s">
        <v>79</v>
      </c>
      <c r="H62" s="361" t="s">
        <v>92</v>
      </c>
      <c r="I62" s="260" t="s">
        <v>66</v>
      </c>
      <c r="J62" s="260" t="s">
        <v>72</v>
      </c>
      <c r="K62" s="262"/>
      <c r="L62" s="262"/>
      <c r="M62" s="263">
        <f>F62-N62</f>
        <v>177000</v>
      </c>
      <c r="N62" s="264">
        <f t="shared" si="0"/>
        <v>0</v>
      </c>
      <c r="O62" s="270"/>
      <c r="P62" s="250"/>
      <c r="Q62" s="177"/>
      <c r="R62" s="178"/>
      <c r="S62" s="179"/>
      <c r="T62" s="180"/>
      <c r="U62" s="181"/>
      <c r="V62" s="180"/>
      <c r="W62" s="29"/>
      <c r="Y62" s="29"/>
      <c r="Z62" s="30"/>
      <c r="AA62" s="289"/>
      <c r="AB62" s="290"/>
      <c r="AC62" s="291"/>
      <c r="AD62" s="292"/>
      <c r="AE62" s="293"/>
      <c r="AF62" s="293"/>
      <c r="AG62" s="293"/>
      <c r="AH62" s="294"/>
      <c r="AI62" s="255"/>
      <c r="AJ62" s="23"/>
    </row>
    <row r="63" spans="1:36" s="14" customFormat="1" ht="63">
      <c r="A63" s="365"/>
      <c r="B63" s="362" t="s">
        <v>93</v>
      </c>
      <c r="C63" s="281" t="s">
        <v>69</v>
      </c>
      <c r="D63" s="363" t="s">
        <v>47</v>
      </c>
      <c r="E63" s="364">
        <v>0.29</v>
      </c>
      <c r="F63" s="361">
        <v>80000</v>
      </c>
      <c r="G63" s="361" t="s">
        <v>79</v>
      </c>
      <c r="H63" s="361" t="s">
        <v>92</v>
      </c>
      <c r="I63" s="260" t="s">
        <v>66</v>
      </c>
      <c r="J63" s="260" t="s">
        <v>72</v>
      </c>
      <c r="K63" s="262"/>
      <c r="L63" s="262"/>
      <c r="M63" s="263">
        <f>F63-N63</f>
        <v>80000</v>
      </c>
      <c r="N63" s="264">
        <f t="shared" si="0"/>
        <v>0</v>
      </c>
      <c r="O63" s="270"/>
      <c r="P63" s="250"/>
      <c r="Q63" s="177"/>
      <c r="R63" s="178"/>
      <c r="S63" s="179"/>
      <c r="T63" s="180"/>
      <c r="U63" s="181"/>
      <c r="V63" s="180"/>
      <c r="W63" s="29"/>
      <c r="Y63" s="29"/>
      <c r="Z63" s="30"/>
      <c r="AA63" s="289"/>
      <c r="AB63" s="290"/>
      <c r="AC63" s="291"/>
      <c r="AD63" s="292"/>
      <c r="AE63" s="293"/>
      <c r="AF63" s="293"/>
      <c r="AG63" s="293"/>
      <c r="AH63" s="294"/>
      <c r="AI63" s="255"/>
      <c r="AJ63" s="23"/>
    </row>
    <row r="64" spans="1:36" s="14" customFormat="1" ht="63">
      <c r="A64" s="365"/>
      <c r="B64" s="362" t="s">
        <v>64</v>
      </c>
      <c r="C64" s="281" t="s">
        <v>69</v>
      </c>
      <c r="D64" s="363" t="s">
        <v>47</v>
      </c>
      <c r="E64" s="364">
        <v>0.05</v>
      </c>
      <c r="F64" s="361">
        <v>15000</v>
      </c>
      <c r="G64" s="361" t="s">
        <v>79</v>
      </c>
      <c r="H64" s="361" t="s">
        <v>92</v>
      </c>
      <c r="I64" s="260" t="s">
        <v>66</v>
      </c>
      <c r="J64" s="260" t="s">
        <v>72</v>
      </c>
      <c r="K64" s="262"/>
      <c r="L64" s="262"/>
      <c r="M64" s="263">
        <f>F64-N64</f>
        <v>15000</v>
      </c>
      <c r="N64" s="264">
        <f t="shared" si="0"/>
        <v>0</v>
      </c>
      <c r="O64" s="270"/>
      <c r="P64" s="250"/>
      <c r="Q64" s="177"/>
      <c r="R64" s="178"/>
      <c r="S64" s="179"/>
      <c r="T64" s="180"/>
      <c r="U64" s="181"/>
      <c r="V64" s="180"/>
      <c r="W64" s="29"/>
      <c r="Y64" s="29"/>
      <c r="Z64" s="30"/>
      <c r="AA64" s="289"/>
      <c r="AB64" s="290"/>
      <c r="AC64" s="291"/>
      <c r="AD64" s="292"/>
      <c r="AE64" s="293"/>
      <c r="AF64" s="293"/>
      <c r="AG64" s="293"/>
      <c r="AH64" s="294"/>
      <c r="AI64" s="255"/>
      <c r="AJ64" s="23"/>
    </row>
    <row r="65" spans="1:36" s="14" customFormat="1" ht="15.75">
      <c r="A65" s="1022"/>
      <c r="B65" s="300" t="s">
        <v>94</v>
      </c>
      <c r="C65" s="242"/>
      <c r="D65" s="258"/>
      <c r="E65" s="259"/>
      <c r="F65" s="366"/>
      <c r="G65" s="366"/>
      <c r="H65" s="366"/>
      <c r="I65" s="366"/>
      <c r="J65" s="366"/>
      <c r="K65" s="367"/>
      <c r="L65" s="367"/>
      <c r="M65" s="263"/>
      <c r="N65" s="264"/>
      <c r="O65" s="270"/>
      <c r="P65" s="250"/>
      <c r="Q65" s="177"/>
      <c r="R65" s="178"/>
      <c r="S65" s="179"/>
      <c r="T65" s="180"/>
      <c r="U65" s="181"/>
      <c r="V65" s="180"/>
      <c r="W65" s="29"/>
      <c r="Y65" s="29"/>
      <c r="Z65" s="30"/>
      <c r="AA65" s="289"/>
      <c r="AB65" s="290"/>
      <c r="AC65" s="291"/>
      <c r="AD65" s="292"/>
      <c r="AE65" s="293"/>
      <c r="AF65" s="293"/>
      <c r="AG65" s="293"/>
      <c r="AH65" s="294"/>
      <c r="AI65" s="255"/>
      <c r="AJ65" s="23"/>
    </row>
    <row r="66" spans="1:36" s="14" customFormat="1" ht="63.75" thickBot="1">
      <c r="A66" s="1009"/>
      <c r="B66" s="368" t="s">
        <v>95</v>
      </c>
      <c r="C66" s="369" t="s">
        <v>96</v>
      </c>
      <c r="D66" s="370" t="s">
        <v>47</v>
      </c>
      <c r="E66" s="371">
        <v>0.395</v>
      </c>
      <c r="F66" s="372">
        <v>175000</v>
      </c>
      <c r="G66" s="372" t="s">
        <v>70</v>
      </c>
      <c r="H66" s="372" t="s">
        <v>71</v>
      </c>
      <c r="I66" s="260" t="s">
        <v>66</v>
      </c>
      <c r="J66" s="260" t="s">
        <v>72</v>
      </c>
      <c r="K66" s="367"/>
      <c r="L66" s="367"/>
      <c r="M66" s="263">
        <f>F66-N66</f>
        <v>175000</v>
      </c>
      <c r="N66" s="264">
        <f t="shared" si="0"/>
        <v>0</v>
      </c>
      <c r="O66" s="270"/>
      <c r="P66" s="250"/>
      <c r="Q66" s="177"/>
      <c r="R66" s="178"/>
      <c r="S66" s="179"/>
      <c r="T66" s="180"/>
      <c r="U66" s="181"/>
      <c r="V66" s="180"/>
      <c r="W66" s="29"/>
      <c r="Y66" s="29"/>
      <c r="Z66" s="30"/>
      <c r="AA66" s="289"/>
      <c r="AB66" s="290"/>
      <c r="AC66" s="291"/>
      <c r="AD66" s="292"/>
      <c r="AE66" s="293"/>
      <c r="AF66" s="293"/>
      <c r="AG66" s="293"/>
      <c r="AH66" s="294"/>
      <c r="AI66" s="255"/>
      <c r="AJ66" s="23"/>
    </row>
    <row r="67" spans="1:36" s="233" customFormat="1" ht="30.75" customHeight="1" thickBot="1">
      <c r="A67" s="344" t="s">
        <v>97</v>
      </c>
      <c r="B67" s="345" t="s">
        <v>98</v>
      </c>
      <c r="C67" s="346"/>
      <c r="D67" s="347" t="s">
        <v>47</v>
      </c>
      <c r="E67" s="348">
        <f>SUM(E68:E92)</f>
        <v>5.393000000000001</v>
      </c>
      <c r="F67" s="349">
        <f>SUM(F68:F92)</f>
        <v>1088937</v>
      </c>
      <c r="G67" s="349"/>
      <c r="H67" s="349"/>
      <c r="I67" s="349"/>
      <c r="J67" s="349"/>
      <c r="K67" s="350"/>
      <c r="L67" s="350"/>
      <c r="M67" s="263"/>
      <c r="N67" s="264">
        <f t="shared" si="0"/>
        <v>0</v>
      </c>
      <c r="O67" s="351"/>
      <c r="P67" s="225"/>
      <c r="Q67" s="226"/>
      <c r="R67" s="227"/>
      <c r="S67" s="228"/>
      <c r="T67" s="229"/>
      <c r="U67" s="230"/>
      <c r="V67" s="229"/>
      <c r="W67" s="232"/>
      <c r="Y67" s="232"/>
      <c r="Z67" s="234"/>
      <c r="AA67" s="352">
        <f>F69+F77+F82+F83+F71+F72+F73+F79+F75</f>
        <v>1038937</v>
      </c>
      <c r="AB67" s="236">
        <f>F78+F70</f>
        <v>50000</v>
      </c>
      <c r="AC67" s="353"/>
      <c r="AD67" s="354"/>
      <c r="AE67" s="355"/>
      <c r="AF67" s="355"/>
      <c r="AG67" s="355"/>
      <c r="AH67" s="356"/>
      <c r="AI67" s="239" t="str">
        <f>IF(F67=AA67+AB67+AC67+AD67+AH67,"ОК")</f>
        <v>ОК</v>
      </c>
      <c r="AJ67" s="240">
        <f>938692-109755+120000+140000</f>
        <v>1088937</v>
      </c>
    </row>
    <row r="68" spans="1:36" s="14" customFormat="1" ht="15.75">
      <c r="A68" s="1021"/>
      <c r="B68" s="373" t="s">
        <v>99</v>
      </c>
      <c r="C68" s="374"/>
      <c r="D68" s="363"/>
      <c r="E68" s="364"/>
      <c r="F68" s="375"/>
      <c r="G68" s="375"/>
      <c r="H68" s="375"/>
      <c r="I68" s="375"/>
      <c r="J68" s="375"/>
      <c r="K68" s="269"/>
      <c r="L68" s="269"/>
      <c r="M68" s="263"/>
      <c r="N68" s="264"/>
      <c r="O68" s="270"/>
      <c r="P68" s="250"/>
      <c r="Q68" s="177"/>
      <c r="R68" s="178"/>
      <c r="S68" s="179"/>
      <c r="T68" s="180"/>
      <c r="U68" s="181"/>
      <c r="V68" s="180"/>
      <c r="W68" s="29"/>
      <c r="Y68" s="29"/>
      <c r="Z68" s="30"/>
      <c r="AA68" s="376"/>
      <c r="AB68" s="377"/>
      <c r="AC68" s="378"/>
      <c r="AD68" s="292"/>
      <c r="AE68" s="293"/>
      <c r="AF68" s="293"/>
      <c r="AG68" s="293"/>
      <c r="AH68" s="294"/>
      <c r="AI68" s="255"/>
      <c r="AJ68" s="23"/>
    </row>
    <row r="69" spans="1:36" s="14" customFormat="1" ht="62.25" customHeight="1">
      <c r="A69" s="1009"/>
      <c r="B69" s="379" t="s">
        <v>93</v>
      </c>
      <c r="C69" s="281" t="s">
        <v>69</v>
      </c>
      <c r="D69" s="258" t="s">
        <v>47</v>
      </c>
      <c r="E69" s="259">
        <v>0.6</v>
      </c>
      <c r="F69" s="268">
        <v>108000</v>
      </c>
      <c r="G69" s="268" t="s">
        <v>100</v>
      </c>
      <c r="H69" s="268" t="s">
        <v>89</v>
      </c>
      <c r="I69" s="260" t="s">
        <v>66</v>
      </c>
      <c r="J69" s="260" t="s">
        <v>72</v>
      </c>
      <c r="K69" s="269"/>
      <c r="L69" s="269"/>
      <c r="M69" s="263">
        <f>F69-N69</f>
        <v>108000</v>
      </c>
      <c r="N69" s="264">
        <f t="shared" si="0"/>
        <v>0</v>
      </c>
      <c r="O69" s="270"/>
      <c r="P69" s="250"/>
      <c r="Q69" s="177"/>
      <c r="R69" s="178"/>
      <c r="S69" s="179"/>
      <c r="T69" s="180"/>
      <c r="U69" s="181"/>
      <c r="V69" s="180"/>
      <c r="W69" s="29"/>
      <c r="Y69" s="29"/>
      <c r="Z69" s="30"/>
      <c r="AA69" s="289"/>
      <c r="AB69" s="290"/>
      <c r="AC69" s="291"/>
      <c r="AD69" s="292"/>
      <c r="AE69" s="293"/>
      <c r="AF69" s="293"/>
      <c r="AG69" s="293"/>
      <c r="AH69" s="294"/>
      <c r="AI69" s="255"/>
      <c r="AJ69" s="23"/>
    </row>
    <row r="70" spans="1:36" s="14" customFormat="1" ht="63">
      <c r="A70" s="365"/>
      <c r="B70" s="379" t="s">
        <v>68</v>
      </c>
      <c r="C70" s="281" t="s">
        <v>101</v>
      </c>
      <c r="D70" s="258" t="s">
        <v>47</v>
      </c>
      <c r="E70" s="259">
        <v>0.5</v>
      </c>
      <c r="F70" s="268">
        <v>30000</v>
      </c>
      <c r="G70" s="261">
        <v>2024</v>
      </c>
      <c r="H70" s="261">
        <v>2024</v>
      </c>
      <c r="I70" s="260" t="s">
        <v>102</v>
      </c>
      <c r="J70" s="268"/>
      <c r="K70" s="269"/>
      <c r="L70" s="269"/>
      <c r="M70" s="263">
        <f>F70-N70</f>
        <v>30000</v>
      </c>
      <c r="N70" s="264">
        <f t="shared" si="0"/>
        <v>0</v>
      </c>
      <c r="O70" s="270"/>
      <c r="P70" s="250"/>
      <c r="Q70" s="177"/>
      <c r="R70" s="178"/>
      <c r="S70" s="179"/>
      <c r="T70" s="180"/>
      <c r="U70" s="181"/>
      <c r="V70" s="180"/>
      <c r="W70" s="29"/>
      <c r="Y70" s="29"/>
      <c r="Z70" s="30"/>
      <c r="AA70" s="289"/>
      <c r="AB70" s="252"/>
      <c r="AC70" s="291"/>
      <c r="AD70" s="292"/>
      <c r="AE70" s="293"/>
      <c r="AF70" s="293"/>
      <c r="AG70" s="293"/>
      <c r="AH70" s="294"/>
      <c r="AI70" s="255"/>
      <c r="AJ70" s="23"/>
    </row>
    <row r="71" spans="1:36" s="14" customFormat="1" ht="63">
      <c r="A71" s="299"/>
      <c r="B71" s="380" t="s">
        <v>103</v>
      </c>
      <c r="C71" s="281" t="s">
        <v>69</v>
      </c>
      <c r="D71" s="258" t="s">
        <v>47</v>
      </c>
      <c r="E71" s="259">
        <v>0.58</v>
      </c>
      <c r="F71" s="268">
        <f>107600-26498.22</f>
        <v>81101.78</v>
      </c>
      <c r="G71" s="268" t="s">
        <v>79</v>
      </c>
      <c r="H71" s="268" t="s">
        <v>92</v>
      </c>
      <c r="I71" s="260" t="s">
        <v>66</v>
      </c>
      <c r="J71" s="260" t="s">
        <v>72</v>
      </c>
      <c r="K71" s="269"/>
      <c r="L71" s="269"/>
      <c r="M71" s="263">
        <f>F71-N71</f>
        <v>81101.78</v>
      </c>
      <c r="N71" s="264">
        <f t="shared" si="0"/>
        <v>0</v>
      </c>
      <c r="O71" s="270"/>
      <c r="P71" s="250"/>
      <c r="Q71" s="177"/>
      <c r="R71" s="178"/>
      <c r="S71" s="179"/>
      <c r="T71" s="180"/>
      <c r="U71" s="181"/>
      <c r="V71" s="180"/>
      <c r="W71" s="288"/>
      <c r="Y71" s="29"/>
      <c r="Z71" s="30"/>
      <c r="AA71" s="289"/>
      <c r="AB71" s="290"/>
      <c r="AC71" s="291"/>
      <c r="AD71" s="292"/>
      <c r="AE71" s="293"/>
      <c r="AF71" s="293"/>
      <c r="AG71" s="293"/>
      <c r="AH71" s="294"/>
      <c r="AI71" s="255"/>
      <c r="AJ71" s="23"/>
    </row>
    <row r="72" spans="1:36" s="14" customFormat="1" ht="63">
      <c r="A72" s="299"/>
      <c r="B72" s="379" t="s">
        <v>104</v>
      </c>
      <c r="C72" s="381" t="s">
        <v>69</v>
      </c>
      <c r="D72" s="258" t="s">
        <v>47</v>
      </c>
      <c r="E72" s="259">
        <v>0.37</v>
      </c>
      <c r="F72" s="303">
        <f>120000+26498.22</f>
        <v>146498.22</v>
      </c>
      <c r="G72" s="303" t="s">
        <v>105</v>
      </c>
      <c r="H72" s="303" t="s">
        <v>79</v>
      </c>
      <c r="I72" s="260" t="s">
        <v>66</v>
      </c>
      <c r="J72" s="260" t="s">
        <v>72</v>
      </c>
      <c r="K72" s="304"/>
      <c r="L72" s="304"/>
      <c r="M72" s="263">
        <f>F72-N72</f>
        <v>0</v>
      </c>
      <c r="N72" s="264">
        <f>SUM(P72:Z72)</f>
        <v>146498.22</v>
      </c>
      <c r="O72" s="270"/>
      <c r="P72" s="250"/>
      <c r="Q72" s="177">
        <v>21520.66</v>
      </c>
      <c r="R72" s="270">
        <v>124977.56</v>
      </c>
      <c r="S72" s="179"/>
      <c r="T72" s="180"/>
      <c r="U72" s="181"/>
      <c r="V72" s="180"/>
      <c r="W72" s="288"/>
      <c r="Y72" s="29"/>
      <c r="Z72" s="30"/>
      <c r="AA72" s="289"/>
      <c r="AB72" s="290"/>
      <c r="AC72" s="291"/>
      <c r="AD72" s="292"/>
      <c r="AE72" s="293"/>
      <c r="AF72" s="293"/>
      <c r="AG72" s="293"/>
      <c r="AH72" s="294"/>
      <c r="AI72" s="255"/>
      <c r="AJ72" s="23"/>
    </row>
    <row r="73" spans="1:36" s="14" customFormat="1" ht="73.5" customHeight="1">
      <c r="A73" s="382"/>
      <c r="B73" s="383" t="s">
        <v>106</v>
      </c>
      <c r="C73" s="242" t="s">
        <v>107</v>
      </c>
      <c r="D73" s="384" t="s">
        <v>47</v>
      </c>
      <c r="E73" s="259">
        <v>1.073</v>
      </c>
      <c r="F73" s="303">
        <f>120537</f>
        <v>120537</v>
      </c>
      <c r="G73" s="268" t="s">
        <v>79</v>
      </c>
      <c r="H73" s="268" t="s">
        <v>92</v>
      </c>
      <c r="I73" s="260" t="s">
        <v>66</v>
      </c>
      <c r="J73" s="260" t="s">
        <v>72</v>
      </c>
      <c r="K73" s="304"/>
      <c r="L73" s="304"/>
      <c r="M73" s="263">
        <f>F73-N73</f>
        <v>120537</v>
      </c>
      <c r="N73" s="264">
        <f t="shared" si="0"/>
        <v>0</v>
      </c>
      <c r="O73" s="270"/>
      <c r="P73" s="250"/>
      <c r="Q73" s="177"/>
      <c r="R73" s="178"/>
      <c r="S73" s="179"/>
      <c r="T73" s="180"/>
      <c r="U73" s="181"/>
      <c r="V73" s="180"/>
      <c r="W73" s="385"/>
      <c r="Y73" s="29"/>
      <c r="Z73" s="30"/>
      <c r="AA73" s="289"/>
      <c r="AB73" s="290"/>
      <c r="AC73" s="291"/>
      <c r="AD73" s="292"/>
      <c r="AE73" s="293"/>
      <c r="AF73" s="293"/>
      <c r="AG73" s="293"/>
      <c r="AH73" s="294"/>
      <c r="AI73" s="255"/>
      <c r="AJ73" s="23"/>
    </row>
    <row r="74" spans="1:36" s="14" customFormat="1" ht="15.75">
      <c r="A74" s="299"/>
      <c r="B74" s="386" t="s">
        <v>108</v>
      </c>
      <c r="C74" s="374"/>
      <c r="D74" s="363"/>
      <c r="E74" s="364"/>
      <c r="F74" s="375"/>
      <c r="G74" s="375"/>
      <c r="H74" s="375"/>
      <c r="I74" s="375"/>
      <c r="J74" s="375"/>
      <c r="K74" s="269"/>
      <c r="L74" s="269"/>
      <c r="M74" s="263"/>
      <c r="N74" s="264"/>
      <c r="O74" s="270"/>
      <c r="P74" s="250"/>
      <c r="Q74" s="177"/>
      <c r="R74" s="178"/>
      <c r="S74" s="179"/>
      <c r="T74" s="180"/>
      <c r="U74" s="181"/>
      <c r="V74" s="180"/>
      <c r="W74" s="29"/>
      <c r="Y74" s="29"/>
      <c r="Z74" s="30"/>
      <c r="AA74" s="376"/>
      <c r="AB74" s="377"/>
      <c r="AC74" s="378"/>
      <c r="AD74" s="292"/>
      <c r="AE74" s="293"/>
      <c r="AF74" s="293"/>
      <c r="AG74" s="293"/>
      <c r="AH74" s="294"/>
      <c r="AI74" s="255"/>
      <c r="AJ74" s="23"/>
    </row>
    <row r="75" spans="1:36" s="14" customFormat="1" ht="64.5" customHeight="1">
      <c r="A75" s="299"/>
      <c r="B75" s="256" t="s">
        <v>109</v>
      </c>
      <c r="C75" s="381" t="s">
        <v>69</v>
      </c>
      <c r="D75" s="258" t="s">
        <v>47</v>
      </c>
      <c r="E75" s="259">
        <v>0.45</v>
      </c>
      <c r="F75" s="303">
        <v>140000</v>
      </c>
      <c r="G75" s="303" t="s">
        <v>92</v>
      </c>
      <c r="H75" s="303" t="s">
        <v>70</v>
      </c>
      <c r="I75" s="260" t="s">
        <v>66</v>
      </c>
      <c r="J75" s="260" t="s">
        <v>72</v>
      </c>
      <c r="K75" s="304"/>
      <c r="L75" s="304"/>
      <c r="M75" s="263">
        <f>F75-N75</f>
        <v>140000</v>
      </c>
      <c r="N75" s="264">
        <f t="shared" si="0"/>
        <v>0</v>
      </c>
      <c r="O75" s="270"/>
      <c r="P75" s="250"/>
      <c r="Q75" s="177"/>
      <c r="R75" s="178"/>
      <c r="S75" s="179"/>
      <c r="T75" s="180"/>
      <c r="U75" s="181"/>
      <c r="V75" s="180"/>
      <c r="W75" s="288"/>
      <c r="Y75" s="29"/>
      <c r="Z75" s="30"/>
      <c r="AA75" s="289"/>
      <c r="AB75" s="290"/>
      <c r="AC75" s="291"/>
      <c r="AD75" s="292"/>
      <c r="AE75" s="293"/>
      <c r="AF75" s="293"/>
      <c r="AG75" s="293"/>
      <c r="AH75" s="294"/>
      <c r="AI75" s="255"/>
      <c r="AJ75" s="23"/>
    </row>
    <row r="76" spans="1:36" s="14" customFormat="1" ht="15.75">
      <c r="A76" s="1008"/>
      <c r="B76" s="386" t="s">
        <v>110</v>
      </c>
      <c r="C76" s="242"/>
      <c r="D76" s="258"/>
      <c r="E76" s="259"/>
      <c r="F76" s="387"/>
      <c r="G76" s="387"/>
      <c r="H76" s="387"/>
      <c r="I76" s="387"/>
      <c r="J76" s="387"/>
      <c r="K76" s="388"/>
      <c r="L76" s="388"/>
      <c r="M76" s="263"/>
      <c r="N76" s="264"/>
      <c r="O76" s="270"/>
      <c r="P76" s="250"/>
      <c r="Q76" s="177"/>
      <c r="R76" s="178"/>
      <c r="S76" s="179"/>
      <c r="T76" s="180"/>
      <c r="U76" s="305"/>
      <c r="V76" s="180"/>
      <c r="W76" s="288"/>
      <c r="Y76" s="29"/>
      <c r="Z76" s="30"/>
      <c r="AA76" s="289"/>
      <c r="AB76" s="290"/>
      <c r="AC76" s="291"/>
      <c r="AD76" s="292"/>
      <c r="AE76" s="293"/>
      <c r="AF76" s="293"/>
      <c r="AG76" s="293"/>
      <c r="AH76" s="294"/>
      <c r="AI76" s="255"/>
      <c r="AJ76" s="23"/>
    </row>
    <row r="77" spans="1:36" s="14" customFormat="1" ht="63">
      <c r="A77" s="1009"/>
      <c r="B77" s="256" t="s">
        <v>111</v>
      </c>
      <c r="C77" s="242" t="s">
        <v>112</v>
      </c>
      <c r="D77" s="258" t="s">
        <v>47</v>
      </c>
      <c r="E77" s="259">
        <v>0.42</v>
      </c>
      <c r="F77" s="268">
        <v>79800</v>
      </c>
      <c r="G77" s="268" t="s">
        <v>79</v>
      </c>
      <c r="H77" s="268" t="s">
        <v>92</v>
      </c>
      <c r="I77" s="260" t="s">
        <v>66</v>
      </c>
      <c r="J77" s="260" t="s">
        <v>72</v>
      </c>
      <c r="K77" s="269"/>
      <c r="L77" s="269"/>
      <c r="M77" s="263">
        <f>F77-N77</f>
        <v>79800</v>
      </c>
      <c r="N77" s="264">
        <f t="shared" si="0"/>
        <v>0</v>
      </c>
      <c r="O77" s="270"/>
      <c r="P77" s="250"/>
      <c r="Q77" s="177"/>
      <c r="R77" s="178"/>
      <c r="S77" s="179"/>
      <c r="T77" s="180"/>
      <c r="U77" s="305"/>
      <c r="V77" s="180"/>
      <c r="W77" s="288"/>
      <c r="Y77" s="29"/>
      <c r="Z77" s="30"/>
      <c r="AA77" s="289"/>
      <c r="AB77" s="290"/>
      <c r="AC77" s="291"/>
      <c r="AD77" s="292"/>
      <c r="AE77" s="293"/>
      <c r="AF77" s="293"/>
      <c r="AG77" s="293"/>
      <c r="AH77" s="294"/>
      <c r="AI77" s="255"/>
      <c r="AJ77" s="23"/>
    </row>
    <row r="78" spans="1:36" s="14" customFormat="1" ht="78" customHeight="1">
      <c r="A78" s="299"/>
      <c r="B78" s="256" t="s">
        <v>113</v>
      </c>
      <c r="C78" s="257" t="s">
        <v>114</v>
      </c>
      <c r="D78" s="258" t="s">
        <v>47</v>
      </c>
      <c r="E78" s="259"/>
      <c r="F78" s="268">
        <v>20000</v>
      </c>
      <c r="G78" s="261">
        <v>2024</v>
      </c>
      <c r="H78" s="261">
        <v>2024</v>
      </c>
      <c r="I78" s="260" t="s">
        <v>102</v>
      </c>
      <c r="J78" s="268"/>
      <c r="K78" s="269"/>
      <c r="L78" s="269"/>
      <c r="M78" s="263">
        <f>F78-N78</f>
        <v>20000</v>
      </c>
      <c r="N78" s="264">
        <f t="shared" si="0"/>
        <v>0</v>
      </c>
      <c r="O78" s="75"/>
      <c r="P78" s="389"/>
      <c r="Q78" s="390"/>
      <c r="R78" s="391"/>
      <c r="S78" s="390"/>
      <c r="T78" s="392"/>
      <c r="U78" s="305"/>
      <c r="V78" s="180"/>
      <c r="W78" s="29"/>
      <c r="Y78" s="29"/>
      <c r="Z78" s="30"/>
      <c r="AA78" s="289"/>
      <c r="AB78" s="290"/>
      <c r="AC78" s="291"/>
      <c r="AD78" s="292"/>
      <c r="AE78" s="293"/>
      <c r="AF78" s="293"/>
      <c r="AG78" s="293"/>
      <c r="AH78" s="294"/>
      <c r="AI78" s="255"/>
      <c r="AJ78" s="23"/>
    </row>
    <row r="79" spans="1:36" s="14" customFormat="1" ht="67.5" customHeight="1">
      <c r="A79" s="382"/>
      <c r="B79" s="393" t="s">
        <v>115</v>
      </c>
      <c r="C79" s="242" t="s">
        <v>69</v>
      </c>
      <c r="D79" s="258" t="s">
        <v>47</v>
      </c>
      <c r="E79" s="259">
        <v>0.6</v>
      </c>
      <c r="F79" s="268">
        <f>201000</f>
        <v>201000</v>
      </c>
      <c r="G79" s="268"/>
      <c r="H79" s="268"/>
      <c r="I79" s="260" t="s">
        <v>66</v>
      </c>
      <c r="J79" s="260" t="s">
        <v>72</v>
      </c>
      <c r="K79" s="269"/>
      <c r="L79" s="269"/>
      <c r="M79" s="263">
        <f>F79-N79</f>
        <v>201000</v>
      </c>
      <c r="N79" s="264">
        <f t="shared" si="0"/>
        <v>0</v>
      </c>
      <c r="O79" s="75"/>
      <c r="P79" s="389"/>
      <c r="Q79" s="390"/>
      <c r="R79" s="391"/>
      <c r="S79" s="390"/>
      <c r="T79" s="392"/>
      <c r="U79" s="305"/>
      <c r="V79" s="180"/>
      <c r="W79" s="29"/>
      <c r="Y79" s="29"/>
      <c r="Z79" s="30"/>
      <c r="AA79" s="289"/>
      <c r="AB79" s="290"/>
      <c r="AC79" s="291"/>
      <c r="AD79" s="292"/>
      <c r="AE79" s="293"/>
      <c r="AF79" s="293"/>
      <c r="AG79" s="293"/>
      <c r="AH79" s="294"/>
      <c r="AI79" s="255"/>
      <c r="AJ79" s="23"/>
    </row>
    <row r="80" spans="1:36" s="404" customFormat="1" ht="25.5" customHeight="1" hidden="1">
      <c r="A80" s="338"/>
      <c r="B80" s="333"/>
      <c r="C80" s="325"/>
      <c r="D80" s="326"/>
      <c r="E80" s="327"/>
      <c r="F80" s="336"/>
      <c r="G80" s="336"/>
      <c r="H80" s="336"/>
      <c r="I80" s="336"/>
      <c r="J80" s="336"/>
      <c r="K80" s="337"/>
      <c r="L80" s="337"/>
      <c r="M80" s="394"/>
      <c r="N80" s="395"/>
      <c r="O80" s="396"/>
      <c r="P80" s="397"/>
      <c r="Q80" s="398"/>
      <c r="R80" s="399"/>
      <c r="S80" s="398"/>
      <c r="T80" s="400"/>
      <c r="U80" s="401"/>
      <c r="V80" s="402"/>
      <c r="W80" s="403"/>
      <c r="Y80" s="403"/>
      <c r="Z80" s="405"/>
      <c r="AA80" s="406"/>
      <c r="AB80" s="407"/>
      <c r="AC80" s="408"/>
      <c r="AD80" s="409"/>
      <c r="AE80" s="410"/>
      <c r="AF80" s="410"/>
      <c r="AG80" s="410"/>
      <c r="AH80" s="411"/>
      <c r="AI80" s="412"/>
      <c r="AJ80" s="413"/>
    </row>
    <row r="81" spans="1:36" s="14" customFormat="1" ht="15.75">
      <c r="A81" s="1008"/>
      <c r="B81" s="414" t="s">
        <v>116</v>
      </c>
      <c r="C81" s="281"/>
      <c r="D81" s="258"/>
      <c r="E81" s="259"/>
      <c r="F81" s="268"/>
      <c r="G81" s="268"/>
      <c r="H81" s="268"/>
      <c r="I81" s="268"/>
      <c r="J81" s="268"/>
      <c r="K81" s="269"/>
      <c r="L81" s="269"/>
      <c r="M81" s="263"/>
      <c r="N81" s="264"/>
      <c r="O81" s="270"/>
      <c r="P81" s="250"/>
      <c r="Q81" s="177"/>
      <c r="R81" s="178"/>
      <c r="S81" s="179"/>
      <c r="T81" s="180"/>
      <c r="U81" s="305"/>
      <c r="V81" s="180"/>
      <c r="W81" s="29"/>
      <c r="Y81" s="29"/>
      <c r="Z81" s="30"/>
      <c r="AA81" s="289"/>
      <c r="AB81" s="290"/>
      <c r="AC81" s="291"/>
      <c r="AD81" s="292"/>
      <c r="AE81" s="293"/>
      <c r="AF81" s="293"/>
      <c r="AG81" s="293"/>
      <c r="AH81" s="294"/>
      <c r="AI81" s="255"/>
      <c r="AJ81" s="23"/>
    </row>
    <row r="82" spans="1:36" s="14" customFormat="1" ht="63">
      <c r="A82" s="1009"/>
      <c r="B82" s="415" t="s">
        <v>117</v>
      </c>
      <c r="C82" s="275" t="s">
        <v>69</v>
      </c>
      <c r="D82" s="258" t="s">
        <v>47</v>
      </c>
      <c r="E82" s="259">
        <v>0.4</v>
      </c>
      <c r="F82" s="303">
        <v>81000</v>
      </c>
      <c r="G82" s="303" t="s">
        <v>79</v>
      </c>
      <c r="H82" s="303" t="s">
        <v>92</v>
      </c>
      <c r="I82" s="260" t="s">
        <v>66</v>
      </c>
      <c r="J82" s="260" t="s">
        <v>72</v>
      </c>
      <c r="K82" s="304"/>
      <c r="L82" s="304"/>
      <c r="M82" s="263">
        <f aca="true" t="shared" si="3" ref="M82:M92">F82-N82</f>
        <v>71022.77</v>
      </c>
      <c r="N82" s="264">
        <f t="shared" si="0"/>
        <v>9977.23</v>
      </c>
      <c r="O82" s="270"/>
      <c r="P82" s="250"/>
      <c r="Q82" s="177"/>
      <c r="R82" s="178">
        <v>9977.23</v>
      </c>
      <c r="S82" s="179"/>
      <c r="T82" s="180"/>
      <c r="U82" s="305"/>
      <c r="V82" s="180"/>
      <c r="W82" s="29"/>
      <c r="Y82" s="29"/>
      <c r="Z82" s="30"/>
      <c r="AA82" s="289"/>
      <c r="AB82" s="290"/>
      <c r="AC82" s="291"/>
      <c r="AD82" s="292"/>
      <c r="AE82" s="293"/>
      <c r="AF82" s="293"/>
      <c r="AG82" s="293"/>
      <c r="AH82" s="294"/>
      <c r="AI82" s="255"/>
      <c r="AJ82" s="23"/>
    </row>
    <row r="83" spans="1:36" s="14" customFormat="1" ht="63.75" thickBot="1">
      <c r="A83" s="299"/>
      <c r="B83" s="415" t="s">
        <v>118</v>
      </c>
      <c r="C83" s="275" t="s">
        <v>69</v>
      </c>
      <c r="D83" s="258" t="s">
        <v>47</v>
      </c>
      <c r="E83" s="259">
        <v>0.4</v>
      </c>
      <c r="F83" s="303">
        <v>81000</v>
      </c>
      <c r="G83" s="303" t="s">
        <v>79</v>
      </c>
      <c r="H83" s="303" t="s">
        <v>92</v>
      </c>
      <c r="I83" s="260" t="s">
        <v>66</v>
      </c>
      <c r="J83" s="260" t="s">
        <v>72</v>
      </c>
      <c r="K83" s="304"/>
      <c r="L83" s="304"/>
      <c r="M83" s="263">
        <f t="shared" si="3"/>
        <v>81000</v>
      </c>
      <c r="N83" s="264">
        <f t="shared" si="0"/>
        <v>0</v>
      </c>
      <c r="O83" s="270"/>
      <c r="P83" s="250"/>
      <c r="Q83" s="177"/>
      <c r="R83" s="178"/>
      <c r="S83" s="179"/>
      <c r="T83" s="180"/>
      <c r="U83" s="305"/>
      <c r="V83" s="180"/>
      <c r="W83" s="29"/>
      <c r="Y83" s="29"/>
      <c r="Z83" s="30"/>
      <c r="AA83" s="289"/>
      <c r="AB83" s="290"/>
      <c r="AC83" s="291"/>
      <c r="AD83" s="292"/>
      <c r="AE83" s="293"/>
      <c r="AF83" s="293"/>
      <c r="AG83" s="293"/>
      <c r="AH83" s="294"/>
      <c r="AI83" s="255"/>
      <c r="AJ83" s="23"/>
    </row>
    <row r="84" spans="1:35" ht="13.5" customHeight="1" hidden="1">
      <c r="A84" s="307"/>
      <c r="B84" s="333"/>
      <c r="C84" s="334"/>
      <c r="D84" s="326"/>
      <c r="E84" s="327"/>
      <c r="F84" s="336"/>
      <c r="G84" s="336"/>
      <c r="H84" s="336"/>
      <c r="I84" s="336"/>
      <c r="J84" s="336"/>
      <c r="K84" s="337"/>
      <c r="L84" s="337"/>
      <c r="M84" s="263">
        <f t="shared" si="3"/>
        <v>0</v>
      </c>
      <c r="N84" s="264">
        <f t="shared" si="0"/>
        <v>0</v>
      </c>
      <c r="O84" s="270"/>
      <c r="P84" s="250"/>
      <c r="Q84" s="177"/>
      <c r="R84" s="178"/>
      <c r="S84" s="179"/>
      <c r="T84" s="180"/>
      <c r="U84" s="305"/>
      <c r="V84" s="180"/>
      <c r="AA84" s="314"/>
      <c r="AB84" s="315"/>
      <c r="AC84" s="316"/>
      <c r="AD84" s="317"/>
      <c r="AE84" s="318"/>
      <c r="AF84" s="318"/>
      <c r="AG84" s="318"/>
      <c r="AH84" s="319"/>
      <c r="AI84" s="320"/>
    </row>
    <row r="85" spans="1:35" ht="13.5" customHeight="1" hidden="1">
      <c r="A85" s="307"/>
      <c r="B85" s="333"/>
      <c r="C85" s="334"/>
      <c r="D85" s="326"/>
      <c r="E85" s="327"/>
      <c r="F85" s="336"/>
      <c r="G85" s="336"/>
      <c r="H85" s="336"/>
      <c r="I85" s="336"/>
      <c r="J85" s="336"/>
      <c r="K85" s="337"/>
      <c r="L85" s="337"/>
      <c r="M85" s="263">
        <f t="shared" si="3"/>
        <v>0</v>
      </c>
      <c r="N85" s="264">
        <f t="shared" si="0"/>
        <v>0</v>
      </c>
      <c r="O85" s="270"/>
      <c r="P85" s="250"/>
      <c r="Q85" s="177"/>
      <c r="R85" s="178"/>
      <c r="S85" s="179"/>
      <c r="T85" s="180"/>
      <c r="U85" s="305"/>
      <c r="V85" s="180"/>
      <c r="AA85" s="314"/>
      <c r="AB85" s="315"/>
      <c r="AC85" s="316"/>
      <c r="AD85" s="317"/>
      <c r="AE85" s="318"/>
      <c r="AF85" s="318"/>
      <c r="AG85" s="318"/>
      <c r="AH85" s="319"/>
      <c r="AI85" s="320"/>
    </row>
    <row r="86" spans="1:35" ht="13.5" customHeight="1" hidden="1">
      <c r="A86" s="307"/>
      <c r="B86" s="333"/>
      <c r="C86" s="325"/>
      <c r="D86" s="326"/>
      <c r="E86" s="327"/>
      <c r="F86" s="336"/>
      <c r="G86" s="336"/>
      <c r="H86" s="336"/>
      <c r="I86" s="336"/>
      <c r="J86" s="336"/>
      <c r="K86" s="337"/>
      <c r="L86" s="337"/>
      <c r="M86" s="263">
        <f t="shared" si="3"/>
        <v>0</v>
      </c>
      <c r="N86" s="264">
        <f t="shared" si="0"/>
        <v>0</v>
      </c>
      <c r="O86" s="270"/>
      <c r="P86" s="250"/>
      <c r="Q86" s="177"/>
      <c r="R86" s="178"/>
      <c r="S86" s="179"/>
      <c r="T86" s="180"/>
      <c r="U86" s="305"/>
      <c r="V86" s="180"/>
      <c r="AA86" s="314"/>
      <c r="AB86" s="315"/>
      <c r="AC86" s="316"/>
      <c r="AD86" s="317"/>
      <c r="AE86" s="318"/>
      <c r="AF86" s="318"/>
      <c r="AG86" s="318"/>
      <c r="AH86" s="319"/>
      <c r="AI86" s="320"/>
    </row>
    <row r="87" spans="1:35" ht="13.5" customHeight="1" hidden="1">
      <c r="A87" s="307"/>
      <c r="B87" s="416"/>
      <c r="C87" s="334"/>
      <c r="D87" s="326"/>
      <c r="E87" s="327"/>
      <c r="F87" s="312"/>
      <c r="G87" s="312"/>
      <c r="H87" s="312"/>
      <c r="I87" s="312"/>
      <c r="J87" s="312"/>
      <c r="K87" s="313"/>
      <c r="L87" s="313"/>
      <c r="M87" s="263">
        <f t="shared" si="3"/>
        <v>0</v>
      </c>
      <c r="N87" s="264">
        <f t="shared" si="0"/>
        <v>0</v>
      </c>
      <c r="O87" s="270"/>
      <c r="P87" s="250"/>
      <c r="Q87" s="177"/>
      <c r="R87" s="178"/>
      <c r="S87" s="179"/>
      <c r="T87" s="180"/>
      <c r="U87" s="305"/>
      <c r="V87" s="180"/>
      <c r="Y87" s="332"/>
      <c r="AA87" s="314"/>
      <c r="AB87" s="315"/>
      <c r="AC87" s="316"/>
      <c r="AD87" s="317"/>
      <c r="AE87" s="318"/>
      <c r="AF87" s="318"/>
      <c r="AG87" s="318"/>
      <c r="AH87" s="319"/>
      <c r="AI87" s="320"/>
    </row>
    <row r="88" spans="1:35" ht="13.5" customHeight="1" hidden="1">
      <c r="A88" s="307"/>
      <c r="B88" s="417"/>
      <c r="C88" s="334"/>
      <c r="D88" s="326"/>
      <c r="E88" s="327"/>
      <c r="F88" s="312"/>
      <c r="G88" s="312"/>
      <c r="H88" s="312"/>
      <c r="I88" s="312"/>
      <c r="J88" s="312"/>
      <c r="K88" s="313"/>
      <c r="L88" s="313"/>
      <c r="M88" s="263">
        <f t="shared" si="3"/>
        <v>0</v>
      </c>
      <c r="N88" s="264">
        <f t="shared" si="0"/>
        <v>0</v>
      </c>
      <c r="O88" s="270"/>
      <c r="P88" s="250"/>
      <c r="Q88" s="177"/>
      <c r="R88" s="178"/>
      <c r="S88" s="179"/>
      <c r="T88" s="180"/>
      <c r="U88" s="305"/>
      <c r="V88" s="180"/>
      <c r="AA88" s="314"/>
      <c r="AB88" s="315"/>
      <c r="AC88" s="316"/>
      <c r="AD88" s="317"/>
      <c r="AE88" s="318"/>
      <c r="AF88" s="318"/>
      <c r="AG88" s="318"/>
      <c r="AH88" s="319"/>
      <c r="AI88" s="320"/>
    </row>
    <row r="89" spans="1:35" ht="13.5" customHeight="1" hidden="1">
      <c r="A89" s="307"/>
      <c r="B89" s="417"/>
      <c r="C89" s="331"/>
      <c r="D89" s="326"/>
      <c r="E89" s="327"/>
      <c r="F89" s="312"/>
      <c r="G89" s="312"/>
      <c r="H89" s="312"/>
      <c r="I89" s="312"/>
      <c r="J89" s="312"/>
      <c r="K89" s="313"/>
      <c r="L89" s="313"/>
      <c r="M89" s="263">
        <f t="shared" si="3"/>
        <v>0</v>
      </c>
      <c r="N89" s="264">
        <f t="shared" si="0"/>
        <v>0</v>
      </c>
      <c r="O89" s="270"/>
      <c r="P89" s="250"/>
      <c r="Q89" s="177"/>
      <c r="R89" s="178"/>
      <c r="S89" s="179"/>
      <c r="T89" s="180"/>
      <c r="U89" s="305"/>
      <c r="V89" s="180"/>
      <c r="AA89" s="314"/>
      <c r="AB89" s="315"/>
      <c r="AC89" s="316"/>
      <c r="AD89" s="317"/>
      <c r="AE89" s="318"/>
      <c r="AF89" s="318"/>
      <c r="AG89" s="318"/>
      <c r="AH89" s="319"/>
      <c r="AI89" s="320"/>
    </row>
    <row r="90" spans="1:35" ht="13.5" customHeight="1" hidden="1">
      <c r="A90" s="307"/>
      <c r="B90" s="417"/>
      <c r="C90" s="331"/>
      <c r="D90" s="326"/>
      <c r="E90" s="327"/>
      <c r="F90" s="312"/>
      <c r="G90" s="312"/>
      <c r="H90" s="312"/>
      <c r="I90" s="312"/>
      <c r="J90" s="312"/>
      <c r="K90" s="313"/>
      <c r="L90" s="313"/>
      <c r="M90" s="263">
        <f t="shared" si="3"/>
        <v>0</v>
      </c>
      <c r="N90" s="264">
        <f t="shared" si="0"/>
        <v>0</v>
      </c>
      <c r="O90" s="270"/>
      <c r="P90" s="250"/>
      <c r="Q90" s="177"/>
      <c r="R90" s="178"/>
      <c r="S90" s="179"/>
      <c r="T90" s="180"/>
      <c r="U90" s="305"/>
      <c r="V90" s="180"/>
      <c r="AA90" s="314"/>
      <c r="AB90" s="315"/>
      <c r="AC90" s="316"/>
      <c r="AD90" s="317"/>
      <c r="AE90" s="318"/>
      <c r="AF90" s="318"/>
      <c r="AG90" s="318"/>
      <c r="AH90" s="319"/>
      <c r="AI90" s="320"/>
    </row>
    <row r="91" spans="1:35" ht="13.5" customHeight="1" hidden="1">
      <c r="A91" s="307"/>
      <c r="B91" s="417"/>
      <c r="C91" s="331"/>
      <c r="D91" s="326"/>
      <c r="E91" s="327"/>
      <c r="F91" s="312"/>
      <c r="G91" s="312"/>
      <c r="H91" s="312"/>
      <c r="I91" s="312"/>
      <c r="J91" s="312"/>
      <c r="K91" s="313"/>
      <c r="L91" s="313"/>
      <c r="M91" s="263">
        <f t="shared" si="3"/>
        <v>0</v>
      </c>
      <c r="N91" s="264">
        <f t="shared" si="0"/>
        <v>0</v>
      </c>
      <c r="O91" s="270"/>
      <c r="P91" s="250"/>
      <c r="Q91" s="177"/>
      <c r="R91" s="178"/>
      <c r="S91" s="179"/>
      <c r="T91" s="180"/>
      <c r="U91" s="305"/>
      <c r="V91" s="180"/>
      <c r="AA91" s="314"/>
      <c r="AB91" s="315"/>
      <c r="AC91" s="316"/>
      <c r="AD91" s="317"/>
      <c r="AE91" s="318"/>
      <c r="AF91" s="318"/>
      <c r="AG91" s="318"/>
      <c r="AH91" s="319"/>
      <c r="AI91" s="320"/>
    </row>
    <row r="92" spans="1:35" ht="16.5" hidden="1" thickBot="1">
      <c r="A92" s="338"/>
      <c r="B92" s="418"/>
      <c r="C92" s="419"/>
      <c r="D92" s="341"/>
      <c r="E92" s="420"/>
      <c r="F92" s="421"/>
      <c r="G92" s="421"/>
      <c r="H92" s="421"/>
      <c r="I92" s="421"/>
      <c r="J92" s="421"/>
      <c r="K92" s="313"/>
      <c r="L92" s="313"/>
      <c r="M92" s="263">
        <f t="shared" si="3"/>
        <v>0</v>
      </c>
      <c r="N92" s="264">
        <f t="shared" si="0"/>
        <v>0</v>
      </c>
      <c r="O92" s="270"/>
      <c r="P92" s="250"/>
      <c r="Q92" s="177"/>
      <c r="R92" s="178"/>
      <c r="S92" s="179"/>
      <c r="T92" s="180"/>
      <c r="U92" s="305"/>
      <c r="V92" s="180"/>
      <c r="AA92" s="314"/>
      <c r="AB92" s="315"/>
      <c r="AC92" s="316"/>
      <c r="AD92" s="317"/>
      <c r="AE92" s="318"/>
      <c r="AF92" s="318"/>
      <c r="AG92" s="318"/>
      <c r="AH92" s="319"/>
      <c r="AI92" s="320"/>
    </row>
    <row r="93" spans="1:36" s="233" customFormat="1" ht="30.75" customHeight="1" thickBot="1">
      <c r="A93" s="422" t="s">
        <v>119</v>
      </c>
      <c r="B93" s="345" t="s">
        <v>120</v>
      </c>
      <c r="C93" s="423"/>
      <c r="D93" s="347" t="s">
        <v>47</v>
      </c>
      <c r="E93" s="348">
        <f>SUM(E94:E99)</f>
        <v>3.971</v>
      </c>
      <c r="F93" s="349">
        <f>SUM(F94:F102)</f>
        <v>427000</v>
      </c>
      <c r="G93" s="349"/>
      <c r="H93" s="349"/>
      <c r="I93" s="349"/>
      <c r="J93" s="349"/>
      <c r="K93" s="350"/>
      <c r="L93" s="350"/>
      <c r="M93" s="424"/>
      <c r="N93" s="425">
        <f t="shared" si="0"/>
        <v>0</v>
      </c>
      <c r="O93" s="351"/>
      <c r="P93" s="225"/>
      <c r="Q93" s="226"/>
      <c r="R93" s="227"/>
      <c r="S93" s="228"/>
      <c r="T93" s="229"/>
      <c r="U93" s="426"/>
      <c r="V93" s="229"/>
      <c r="W93" s="232"/>
      <c r="Y93" s="232"/>
      <c r="Z93" s="234"/>
      <c r="AA93" s="352">
        <f>F94+F96+F97+F98+F99+F100+F102</f>
        <v>397000</v>
      </c>
      <c r="AB93" s="236">
        <f>F95</f>
        <v>30000</v>
      </c>
      <c r="AC93" s="237"/>
      <c r="AD93" s="354"/>
      <c r="AE93" s="427"/>
      <c r="AF93" s="355"/>
      <c r="AG93" s="355"/>
      <c r="AH93" s="356"/>
      <c r="AI93" s="239" t="str">
        <f>IF(F93=AA93+AB93+AC93+AD93+AH93+AE93+AF93+AG93,"ОК")</f>
        <v>ОК</v>
      </c>
      <c r="AJ93" s="240"/>
    </row>
    <row r="94" spans="1:36" s="14" customFormat="1" ht="63">
      <c r="A94" s="276"/>
      <c r="B94" s="428" t="s">
        <v>121</v>
      </c>
      <c r="C94" s="369" t="s">
        <v>69</v>
      </c>
      <c r="D94" s="370" t="s">
        <v>47</v>
      </c>
      <c r="E94" s="429">
        <v>0.111</v>
      </c>
      <c r="F94" s="430">
        <v>29000</v>
      </c>
      <c r="G94" s="430" t="s">
        <v>92</v>
      </c>
      <c r="H94" s="430" t="s">
        <v>92</v>
      </c>
      <c r="I94" s="260" t="s">
        <v>66</v>
      </c>
      <c r="J94" s="260" t="s">
        <v>72</v>
      </c>
      <c r="K94" s="304"/>
      <c r="L94" s="304"/>
      <c r="M94" s="263">
        <f aca="true" t="shared" si="4" ref="M94:M102">F94-N94</f>
        <v>29000</v>
      </c>
      <c r="N94" s="264">
        <f t="shared" si="0"/>
        <v>0</v>
      </c>
      <c r="O94" s="270"/>
      <c r="P94" s="250"/>
      <c r="Q94" s="177"/>
      <c r="R94" s="178"/>
      <c r="S94" s="179"/>
      <c r="T94" s="180"/>
      <c r="U94" s="305"/>
      <c r="V94" s="431"/>
      <c r="W94" s="29"/>
      <c r="Y94" s="29"/>
      <c r="Z94" s="30"/>
      <c r="AA94" s="289"/>
      <c r="AB94" s="290"/>
      <c r="AC94" s="291"/>
      <c r="AD94" s="292"/>
      <c r="AE94" s="293"/>
      <c r="AF94" s="293"/>
      <c r="AG94" s="293"/>
      <c r="AH94" s="294"/>
      <c r="AI94" s="255"/>
      <c r="AJ94" s="23"/>
    </row>
    <row r="95" spans="1:36" s="14" customFormat="1" ht="80.25" customHeight="1">
      <c r="A95" s="432"/>
      <c r="B95" s="433" t="s">
        <v>122</v>
      </c>
      <c r="C95" s="257" t="s">
        <v>65</v>
      </c>
      <c r="D95" s="434" t="s">
        <v>47</v>
      </c>
      <c r="E95" s="429">
        <v>1.6</v>
      </c>
      <c r="F95" s="430">
        <v>30000</v>
      </c>
      <c r="G95" s="261">
        <v>2024</v>
      </c>
      <c r="H95" s="261">
        <v>2024</v>
      </c>
      <c r="I95" s="260" t="s">
        <v>66</v>
      </c>
      <c r="J95" s="430"/>
      <c r="K95" s="304"/>
      <c r="L95" s="304"/>
      <c r="M95" s="263">
        <f t="shared" si="4"/>
        <v>30000</v>
      </c>
      <c r="N95" s="264">
        <f t="shared" si="0"/>
        <v>0</v>
      </c>
      <c r="O95" s="270"/>
      <c r="P95" s="250"/>
      <c r="Q95" s="177"/>
      <c r="R95" s="178"/>
      <c r="S95" s="179"/>
      <c r="T95" s="180"/>
      <c r="U95" s="305"/>
      <c r="V95" s="431"/>
      <c r="W95" s="29"/>
      <c r="Y95" s="29"/>
      <c r="Z95" s="30"/>
      <c r="AA95" s="289"/>
      <c r="AB95" s="290"/>
      <c r="AC95" s="291"/>
      <c r="AD95" s="292"/>
      <c r="AE95" s="293"/>
      <c r="AF95" s="293"/>
      <c r="AG95" s="293"/>
      <c r="AH95" s="294"/>
      <c r="AI95" s="255"/>
      <c r="AJ95" s="23"/>
    </row>
    <row r="96" spans="1:36" s="14" customFormat="1" ht="72" customHeight="1">
      <c r="A96" s="432"/>
      <c r="B96" s="433" t="s">
        <v>123</v>
      </c>
      <c r="C96" s="435" t="s">
        <v>124</v>
      </c>
      <c r="D96" s="434" t="s">
        <v>47</v>
      </c>
      <c r="E96" s="429">
        <v>0.3</v>
      </c>
      <c r="F96" s="372">
        <v>120000</v>
      </c>
      <c r="G96" s="372" t="s">
        <v>100</v>
      </c>
      <c r="H96" s="372" t="s">
        <v>89</v>
      </c>
      <c r="I96" s="260" t="s">
        <v>66</v>
      </c>
      <c r="J96" s="260" t="s">
        <v>72</v>
      </c>
      <c r="K96" s="367"/>
      <c r="L96" s="367"/>
      <c r="M96" s="263">
        <f t="shared" si="4"/>
        <v>120000</v>
      </c>
      <c r="N96" s="264">
        <f t="shared" si="0"/>
        <v>0</v>
      </c>
      <c r="O96" s="270"/>
      <c r="P96" s="250"/>
      <c r="Q96" s="177"/>
      <c r="R96" s="178"/>
      <c r="S96" s="179"/>
      <c r="T96" s="180"/>
      <c r="U96" s="305"/>
      <c r="V96" s="180"/>
      <c r="W96" s="29"/>
      <c r="Y96" s="29"/>
      <c r="Z96" s="30"/>
      <c r="AA96" s="289"/>
      <c r="AB96" s="290"/>
      <c r="AC96" s="291"/>
      <c r="AD96" s="292"/>
      <c r="AE96" s="293"/>
      <c r="AF96" s="293"/>
      <c r="AG96" s="293"/>
      <c r="AH96" s="294"/>
      <c r="AI96" s="255"/>
      <c r="AJ96" s="23"/>
    </row>
    <row r="97" spans="1:36" s="14" customFormat="1" ht="63">
      <c r="A97" s="276"/>
      <c r="B97" s="306" t="s">
        <v>125</v>
      </c>
      <c r="C97" s="281" t="s">
        <v>126</v>
      </c>
      <c r="D97" s="434" t="s">
        <v>47</v>
      </c>
      <c r="E97" s="302">
        <v>1.66</v>
      </c>
      <c r="F97" s="303">
        <v>190000</v>
      </c>
      <c r="G97" s="372" t="s">
        <v>100</v>
      </c>
      <c r="H97" s="372" t="s">
        <v>89</v>
      </c>
      <c r="I97" s="260" t="s">
        <v>66</v>
      </c>
      <c r="J97" s="260" t="s">
        <v>72</v>
      </c>
      <c r="K97" s="304"/>
      <c r="L97" s="304"/>
      <c r="M97" s="263">
        <f t="shared" si="4"/>
        <v>190000</v>
      </c>
      <c r="N97" s="264">
        <f t="shared" si="0"/>
        <v>0</v>
      </c>
      <c r="O97" s="270"/>
      <c r="P97" s="250"/>
      <c r="Q97" s="177"/>
      <c r="R97" s="178"/>
      <c r="S97" s="179"/>
      <c r="T97" s="180"/>
      <c r="U97" s="305"/>
      <c r="V97" s="180"/>
      <c r="W97" s="29"/>
      <c r="Y97" s="29"/>
      <c r="Z97" s="30"/>
      <c r="AA97" s="289"/>
      <c r="AB97" s="290"/>
      <c r="AC97" s="291"/>
      <c r="AD97" s="292"/>
      <c r="AE97" s="293"/>
      <c r="AF97" s="293"/>
      <c r="AG97" s="293"/>
      <c r="AH97" s="294"/>
      <c r="AI97" s="255"/>
      <c r="AJ97" s="23"/>
    </row>
    <row r="98" spans="1:36" s="14" customFormat="1" ht="63">
      <c r="A98" s="432"/>
      <c r="B98" s="436" t="s">
        <v>127</v>
      </c>
      <c r="C98" s="437" t="s">
        <v>128</v>
      </c>
      <c r="D98" s="384" t="s">
        <v>47</v>
      </c>
      <c r="E98" s="438">
        <v>0.15</v>
      </c>
      <c r="F98" s="366">
        <v>29000</v>
      </c>
      <c r="G98" s="366" t="s">
        <v>92</v>
      </c>
      <c r="H98" s="366" t="s">
        <v>70</v>
      </c>
      <c r="I98" s="260" t="s">
        <v>66</v>
      </c>
      <c r="J98" s="260" t="s">
        <v>72</v>
      </c>
      <c r="K98" s="367"/>
      <c r="L98" s="367"/>
      <c r="M98" s="263">
        <f t="shared" si="4"/>
        <v>29000</v>
      </c>
      <c r="N98" s="264">
        <f aca="true" t="shared" si="5" ref="N98:N162">SUM(O98:Z98)</f>
        <v>0</v>
      </c>
      <c r="O98" s="270"/>
      <c r="P98" s="250"/>
      <c r="Q98" s="177"/>
      <c r="R98" s="178"/>
      <c r="S98" s="179"/>
      <c r="T98" s="180"/>
      <c r="U98" s="305"/>
      <c r="V98" s="180"/>
      <c r="W98" s="29"/>
      <c r="Y98" s="29"/>
      <c r="Z98" s="30"/>
      <c r="AA98" s="289"/>
      <c r="AB98" s="290"/>
      <c r="AC98" s="291"/>
      <c r="AD98" s="292"/>
      <c r="AE98" s="293"/>
      <c r="AF98" s="293"/>
      <c r="AG98" s="293"/>
      <c r="AH98" s="294"/>
      <c r="AI98" s="255"/>
      <c r="AJ98" s="23"/>
    </row>
    <row r="99" spans="1:36" s="14" customFormat="1" ht="63.75" thickBot="1">
      <c r="A99" s="432"/>
      <c r="B99" s="439" t="s">
        <v>129</v>
      </c>
      <c r="C99" s="437" t="s">
        <v>128</v>
      </c>
      <c r="D99" s="384" t="s">
        <v>47</v>
      </c>
      <c r="E99" s="438">
        <v>0.15</v>
      </c>
      <c r="F99" s="366">
        <v>29000</v>
      </c>
      <c r="G99" s="366" t="s">
        <v>92</v>
      </c>
      <c r="H99" s="366" t="s">
        <v>70</v>
      </c>
      <c r="I99" s="260" t="s">
        <v>66</v>
      </c>
      <c r="J99" s="260" t="s">
        <v>72</v>
      </c>
      <c r="K99" s="367"/>
      <c r="L99" s="367"/>
      <c r="M99" s="263">
        <f t="shared" si="4"/>
        <v>29000</v>
      </c>
      <c r="N99" s="264">
        <f t="shared" si="5"/>
        <v>0</v>
      </c>
      <c r="O99" s="270"/>
      <c r="P99" s="250"/>
      <c r="Q99" s="177"/>
      <c r="R99" s="178"/>
      <c r="S99" s="179"/>
      <c r="T99" s="180"/>
      <c r="U99" s="305"/>
      <c r="V99" s="180"/>
      <c r="W99" s="29"/>
      <c r="Y99" s="29"/>
      <c r="Z99" s="30"/>
      <c r="AA99" s="289"/>
      <c r="AB99" s="290"/>
      <c r="AC99" s="291"/>
      <c r="AD99" s="292"/>
      <c r="AE99" s="293"/>
      <c r="AF99" s="293"/>
      <c r="AG99" s="293"/>
      <c r="AH99" s="294"/>
      <c r="AI99" s="255"/>
      <c r="AJ99" s="23"/>
    </row>
    <row r="100" spans="1:38" s="453" customFormat="1" ht="25.5" customHeight="1" hidden="1">
      <c r="A100" s="1010"/>
      <c r="B100" s="1012"/>
      <c r="C100" s="440"/>
      <c r="D100" s="441"/>
      <c r="E100" s="442"/>
      <c r="F100" s="443"/>
      <c r="G100" s="366" t="s">
        <v>92</v>
      </c>
      <c r="H100" s="366" t="s">
        <v>70</v>
      </c>
      <c r="I100" s="443"/>
      <c r="J100" s="443"/>
      <c r="K100" s="444"/>
      <c r="L100" s="444"/>
      <c r="M100" s="263">
        <f t="shared" si="4"/>
        <v>0</v>
      </c>
      <c r="N100" s="264">
        <f t="shared" si="5"/>
        <v>0</v>
      </c>
      <c r="O100" s="445"/>
      <c r="P100" s="446"/>
      <c r="Q100" s="447"/>
      <c r="R100" s="448"/>
      <c r="S100" s="449"/>
      <c r="T100" s="450"/>
      <c r="U100" s="451"/>
      <c r="V100" s="450"/>
      <c r="W100" s="452"/>
      <c r="Y100" s="452"/>
      <c r="Z100" s="454"/>
      <c r="AA100" s="455"/>
      <c r="AB100" s="456"/>
      <c r="AC100" s="457"/>
      <c r="AD100" s="458"/>
      <c r="AE100" s="459"/>
      <c r="AF100" s="459"/>
      <c r="AG100" s="459"/>
      <c r="AH100" s="460"/>
      <c r="AI100" s="461"/>
      <c r="AJ100" s="462"/>
      <c r="AL100" s="453" t="s">
        <v>130</v>
      </c>
    </row>
    <row r="101" spans="1:38" s="14" customFormat="1" ht="25.5" customHeight="1" hidden="1">
      <c r="A101" s="1011"/>
      <c r="B101" s="1013"/>
      <c r="C101" s="463"/>
      <c r="D101" s="441"/>
      <c r="E101" s="442"/>
      <c r="F101" s="443"/>
      <c r="G101" s="366" t="s">
        <v>92</v>
      </c>
      <c r="H101" s="366" t="s">
        <v>70</v>
      </c>
      <c r="I101" s="443"/>
      <c r="J101" s="443"/>
      <c r="K101" s="444"/>
      <c r="L101" s="444"/>
      <c r="M101" s="263">
        <f t="shared" si="4"/>
        <v>0</v>
      </c>
      <c r="N101" s="264">
        <f t="shared" si="5"/>
        <v>0</v>
      </c>
      <c r="O101" s="270"/>
      <c r="P101" s="250"/>
      <c r="Q101" s="177"/>
      <c r="R101" s="178"/>
      <c r="S101" s="179"/>
      <c r="T101" s="180"/>
      <c r="U101" s="305"/>
      <c r="V101" s="180"/>
      <c r="W101" s="29"/>
      <c r="Y101" s="29"/>
      <c r="Z101" s="30"/>
      <c r="AA101" s="289"/>
      <c r="AB101" s="290"/>
      <c r="AC101" s="291"/>
      <c r="AD101" s="292"/>
      <c r="AE101" s="293"/>
      <c r="AF101" s="293"/>
      <c r="AG101" s="293"/>
      <c r="AH101" s="294"/>
      <c r="AI101" s="255"/>
      <c r="AJ101" s="23"/>
      <c r="AL101" s="14" t="s">
        <v>130</v>
      </c>
    </row>
    <row r="102" spans="1:38" s="14" customFormat="1" ht="25.5" customHeight="1" hidden="1">
      <c r="A102" s="464"/>
      <c r="B102" s="465"/>
      <c r="C102" s="466"/>
      <c r="D102" s="467"/>
      <c r="E102" s="468"/>
      <c r="F102" s="469"/>
      <c r="G102" s="366" t="s">
        <v>92</v>
      </c>
      <c r="H102" s="366" t="s">
        <v>70</v>
      </c>
      <c r="I102" s="469"/>
      <c r="J102" s="469"/>
      <c r="K102" s="444"/>
      <c r="L102" s="444"/>
      <c r="M102" s="263">
        <f t="shared" si="4"/>
        <v>0</v>
      </c>
      <c r="N102" s="264">
        <f t="shared" si="5"/>
        <v>0</v>
      </c>
      <c r="O102" s="270"/>
      <c r="P102" s="250"/>
      <c r="Q102" s="177"/>
      <c r="R102" s="178"/>
      <c r="S102" s="179"/>
      <c r="T102" s="180"/>
      <c r="U102" s="305"/>
      <c r="V102" s="180"/>
      <c r="W102" s="29"/>
      <c r="Y102" s="29"/>
      <c r="Z102" s="30"/>
      <c r="AA102" s="289"/>
      <c r="AB102" s="290"/>
      <c r="AC102" s="291"/>
      <c r="AD102" s="292"/>
      <c r="AE102" s="293"/>
      <c r="AF102" s="293"/>
      <c r="AG102" s="293"/>
      <c r="AH102" s="294"/>
      <c r="AI102" s="255"/>
      <c r="AJ102" s="23"/>
      <c r="AL102" s="14" t="s">
        <v>130</v>
      </c>
    </row>
    <row r="103" spans="1:37" s="233" customFormat="1" ht="31.5" customHeight="1" thickBot="1">
      <c r="A103" s="470" t="s">
        <v>131</v>
      </c>
      <c r="B103" s="345" t="s">
        <v>132</v>
      </c>
      <c r="C103" s="346"/>
      <c r="D103" s="347" t="s">
        <v>47</v>
      </c>
      <c r="E103" s="348">
        <f>SUM(E104:E121)</f>
        <v>6.325000000000001</v>
      </c>
      <c r="F103" s="349">
        <f>SUM(F105:F121)</f>
        <v>1420654.07</v>
      </c>
      <c r="G103" s="349"/>
      <c r="H103" s="349"/>
      <c r="I103" s="349"/>
      <c r="J103" s="349"/>
      <c r="K103" s="350"/>
      <c r="L103" s="350"/>
      <c r="M103" s="263"/>
      <c r="N103" s="264">
        <f t="shared" si="5"/>
        <v>0</v>
      </c>
      <c r="O103" s="351"/>
      <c r="P103" s="225"/>
      <c r="Q103" s="226"/>
      <c r="R103" s="227"/>
      <c r="S103" s="228"/>
      <c r="T103" s="229"/>
      <c r="U103" s="426"/>
      <c r="V103" s="229"/>
      <c r="W103" s="232"/>
      <c r="Y103" s="232"/>
      <c r="Z103" s="234"/>
      <c r="AA103" s="471">
        <f>F106+F107+F108+F112+F113+F114+F115+F116+F117+F118</f>
        <v>1270654.07</v>
      </c>
      <c r="AB103" s="236">
        <f>F105+F109+F111+F110</f>
        <v>150000</v>
      </c>
      <c r="AC103" s="237"/>
      <c r="AD103" s="354"/>
      <c r="AE103" s="355"/>
      <c r="AF103" s="355"/>
      <c r="AG103" s="355"/>
      <c r="AH103" s="356"/>
      <c r="AI103" s="239" t="str">
        <f>IF(F103=AA103+AB103+AC103+AD103+AH103,"ОК")</f>
        <v>ОК</v>
      </c>
      <c r="AJ103" s="240">
        <f>1528264.48-67500-81000+270000+68000+38000</f>
        <v>1755764.48</v>
      </c>
      <c r="AK103" s="472">
        <f>AJ103-1677156.23</f>
        <v>78608.25</v>
      </c>
    </row>
    <row r="104" spans="1:36" s="14" customFormat="1" ht="15.75">
      <c r="A104" s="473"/>
      <c r="B104" s="474" t="s">
        <v>133</v>
      </c>
      <c r="C104" s="374"/>
      <c r="D104" s="363"/>
      <c r="E104" s="475"/>
      <c r="F104" s="476"/>
      <c r="G104" s="476"/>
      <c r="H104" s="476"/>
      <c r="I104" s="476"/>
      <c r="J104" s="476"/>
      <c r="K104" s="477"/>
      <c r="L104" s="477"/>
      <c r="M104" s="263"/>
      <c r="N104" s="264"/>
      <c r="O104" s="270"/>
      <c r="P104" s="478"/>
      <c r="Q104" s="177"/>
      <c r="R104" s="178"/>
      <c r="S104" s="479"/>
      <c r="T104" s="180"/>
      <c r="U104" s="305"/>
      <c r="V104" s="180"/>
      <c r="W104" s="288"/>
      <c r="Y104" s="29"/>
      <c r="Z104" s="30"/>
      <c r="AA104" s="289"/>
      <c r="AB104" s="290"/>
      <c r="AC104" s="291"/>
      <c r="AD104" s="292"/>
      <c r="AE104" s="293"/>
      <c r="AF104" s="293"/>
      <c r="AG104" s="293"/>
      <c r="AH104" s="294"/>
      <c r="AI104" s="255"/>
      <c r="AJ104" s="23"/>
    </row>
    <row r="105" spans="1:36" s="14" customFormat="1" ht="63">
      <c r="A105" s="480"/>
      <c r="B105" s="379" t="s">
        <v>134</v>
      </c>
      <c r="C105" s="242" t="s">
        <v>135</v>
      </c>
      <c r="D105" s="258"/>
      <c r="E105" s="438"/>
      <c r="F105" s="366">
        <v>30000</v>
      </c>
      <c r="G105" s="261">
        <v>2024</v>
      </c>
      <c r="H105" s="261">
        <v>2024</v>
      </c>
      <c r="I105" s="260" t="s">
        <v>66</v>
      </c>
      <c r="J105" s="366"/>
      <c r="K105" s="367"/>
      <c r="L105" s="367"/>
      <c r="M105" s="263">
        <f aca="true" t="shared" si="6" ref="M105:M121">F105-N105</f>
        <v>30000</v>
      </c>
      <c r="N105" s="264">
        <f t="shared" si="5"/>
        <v>0</v>
      </c>
      <c r="O105" s="270"/>
      <c r="P105" s="478"/>
      <c r="Q105" s="177"/>
      <c r="R105" s="178"/>
      <c r="S105" s="479"/>
      <c r="T105" s="180"/>
      <c r="U105" s="305"/>
      <c r="V105" s="180"/>
      <c r="W105" s="288"/>
      <c r="X105" s="481"/>
      <c r="Y105" s="29"/>
      <c r="Z105" s="30"/>
      <c r="AA105" s="289"/>
      <c r="AB105" s="290"/>
      <c r="AC105" s="291"/>
      <c r="AD105" s="292"/>
      <c r="AE105" s="293"/>
      <c r="AF105" s="293"/>
      <c r="AG105" s="293"/>
      <c r="AH105" s="294"/>
      <c r="AI105" s="255"/>
      <c r="AJ105" s="23"/>
    </row>
    <row r="106" spans="1:36" s="14" customFormat="1" ht="63">
      <c r="A106" s="480"/>
      <c r="B106" s="379" t="s">
        <v>136</v>
      </c>
      <c r="C106" s="437" t="s">
        <v>69</v>
      </c>
      <c r="D106" s="258" t="s">
        <v>47</v>
      </c>
      <c r="E106" s="438">
        <v>0.7</v>
      </c>
      <c r="F106" s="366">
        <v>126000</v>
      </c>
      <c r="G106" s="366" t="s">
        <v>79</v>
      </c>
      <c r="H106" s="366" t="s">
        <v>92</v>
      </c>
      <c r="I106" s="260" t="s">
        <v>66</v>
      </c>
      <c r="J106" s="260" t="s">
        <v>72</v>
      </c>
      <c r="K106" s="367"/>
      <c r="L106" s="367"/>
      <c r="M106" s="263">
        <f t="shared" si="6"/>
        <v>126000</v>
      </c>
      <c r="N106" s="264">
        <f t="shared" si="5"/>
        <v>0</v>
      </c>
      <c r="O106" s="270"/>
      <c r="P106" s="478"/>
      <c r="Q106" s="177"/>
      <c r="R106" s="178"/>
      <c r="S106" s="479"/>
      <c r="T106" s="180"/>
      <c r="U106" s="305"/>
      <c r="V106" s="180"/>
      <c r="W106" s="288"/>
      <c r="Y106" s="29"/>
      <c r="Z106" s="30"/>
      <c r="AA106" s="289"/>
      <c r="AB106" s="290"/>
      <c r="AC106" s="291"/>
      <c r="AD106" s="292"/>
      <c r="AE106" s="293"/>
      <c r="AF106" s="293"/>
      <c r="AG106" s="293"/>
      <c r="AH106" s="294"/>
      <c r="AI106" s="255"/>
      <c r="AJ106" s="23"/>
    </row>
    <row r="107" spans="1:36" s="14" customFormat="1" ht="63">
      <c r="A107" s="480"/>
      <c r="B107" s="379" t="s">
        <v>137</v>
      </c>
      <c r="C107" s="437" t="s">
        <v>69</v>
      </c>
      <c r="D107" s="258" t="s">
        <v>47</v>
      </c>
      <c r="E107" s="438">
        <v>0.25</v>
      </c>
      <c r="F107" s="366">
        <v>62000</v>
      </c>
      <c r="G107" s="366" t="s">
        <v>79</v>
      </c>
      <c r="H107" s="366" t="s">
        <v>79</v>
      </c>
      <c r="I107" s="260" t="s">
        <v>66</v>
      </c>
      <c r="J107" s="260" t="s">
        <v>72</v>
      </c>
      <c r="K107" s="367"/>
      <c r="L107" s="367"/>
      <c r="M107" s="263">
        <f t="shared" si="6"/>
        <v>62000</v>
      </c>
      <c r="N107" s="264">
        <f t="shared" si="5"/>
        <v>0</v>
      </c>
      <c r="O107" s="270"/>
      <c r="P107" s="478"/>
      <c r="Q107" s="177"/>
      <c r="R107" s="178"/>
      <c r="S107" s="479"/>
      <c r="T107" s="180"/>
      <c r="U107" s="305"/>
      <c r="V107" s="180"/>
      <c r="W107" s="288"/>
      <c r="Y107" s="29"/>
      <c r="Z107" s="30"/>
      <c r="AA107" s="289"/>
      <c r="AB107" s="290"/>
      <c r="AC107" s="291"/>
      <c r="AD107" s="292"/>
      <c r="AE107" s="293"/>
      <c r="AF107" s="293"/>
      <c r="AG107" s="293"/>
      <c r="AH107" s="294"/>
      <c r="AI107" s="255"/>
      <c r="AJ107" s="23"/>
    </row>
    <row r="108" spans="1:36" s="14" customFormat="1" ht="63">
      <c r="A108" s="480"/>
      <c r="B108" s="379" t="s">
        <v>138</v>
      </c>
      <c r="C108" s="437" t="s">
        <v>69</v>
      </c>
      <c r="D108" s="258" t="s">
        <v>47</v>
      </c>
      <c r="E108" s="438">
        <v>1.1</v>
      </c>
      <c r="F108" s="366">
        <v>270000</v>
      </c>
      <c r="G108" s="366" t="s">
        <v>78</v>
      </c>
      <c r="H108" s="366" t="s">
        <v>79</v>
      </c>
      <c r="I108" s="260" t="s">
        <v>66</v>
      </c>
      <c r="J108" s="260" t="s">
        <v>72</v>
      </c>
      <c r="K108" s="367"/>
      <c r="L108" s="367"/>
      <c r="M108" s="263">
        <f t="shared" si="6"/>
        <v>158651.16999999998</v>
      </c>
      <c r="N108" s="264">
        <f t="shared" si="5"/>
        <v>111348.83</v>
      </c>
      <c r="O108" s="270"/>
      <c r="P108" s="478"/>
      <c r="Q108" s="177"/>
      <c r="R108" s="178">
        <v>111348.83</v>
      </c>
      <c r="S108" s="179"/>
      <c r="T108" s="180"/>
      <c r="U108" s="305"/>
      <c r="V108" s="180"/>
      <c r="W108" s="288"/>
      <c r="Y108" s="29"/>
      <c r="Z108" s="30"/>
      <c r="AA108" s="289"/>
      <c r="AB108" s="290"/>
      <c r="AC108" s="291"/>
      <c r="AD108" s="292"/>
      <c r="AE108" s="293"/>
      <c r="AF108" s="293"/>
      <c r="AG108" s="293"/>
      <c r="AH108" s="294"/>
      <c r="AI108" s="255"/>
      <c r="AJ108" s="23"/>
    </row>
    <row r="109" spans="1:36" s="14" customFormat="1" ht="63">
      <c r="A109" s="480"/>
      <c r="B109" s="379" t="s">
        <v>139</v>
      </c>
      <c r="C109" s="242" t="s">
        <v>135</v>
      </c>
      <c r="D109" s="258"/>
      <c r="E109" s="438"/>
      <c r="F109" s="366">
        <v>20000</v>
      </c>
      <c r="G109" s="261">
        <v>2024</v>
      </c>
      <c r="H109" s="261">
        <v>2024</v>
      </c>
      <c r="I109" s="260" t="s">
        <v>66</v>
      </c>
      <c r="J109" s="366"/>
      <c r="K109" s="367"/>
      <c r="L109" s="367"/>
      <c r="M109" s="263">
        <f t="shared" si="6"/>
        <v>20000</v>
      </c>
      <c r="N109" s="264">
        <f t="shared" si="5"/>
        <v>0</v>
      </c>
      <c r="O109" s="270"/>
      <c r="P109" s="478"/>
      <c r="Q109" s="177"/>
      <c r="R109" s="178"/>
      <c r="S109" s="179"/>
      <c r="T109" s="180"/>
      <c r="U109" s="305"/>
      <c r="V109" s="180"/>
      <c r="W109" s="288"/>
      <c r="Y109" s="29"/>
      <c r="Z109" s="30"/>
      <c r="AA109" s="289"/>
      <c r="AB109" s="290"/>
      <c r="AC109" s="291"/>
      <c r="AD109" s="292"/>
      <c r="AE109" s="293"/>
      <c r="AF109" s="293"/>
      <c r="AG109" s="293"/>
      <c r="AH109" s="294"/>
      <c r="AI109" s="255"/>
      <c r="AJ109" s="23"/>
    </row>
    <row r="110" spans="1:36" s="14" customFormat="1" ht="63">
      <c r="A110" s="480"/>
      <c r="B110" s="379" t="s">
        <v>140</v>
      </c>
      <c r="C110" s="482" t="s">
        <v>141</v>
      </c>
      <c r="D110" s="258"/>
      <c r="E110" s="438"/>
      <c r="F110" s="366">
        <v>50000</v>
      </c>
      <c r="G110" s="261">
        <v>2024</v>
      </c>
      <c r="H110" s="261">
        <v>2024</v>
      </c>
      <c r="I110" s="260" t="s">
        <v>66</v>
      </c>
      <c r="J110" s="366"/>
      <c r="K110" s="367"/>
      <c r="L110" s="367"/>
      <c r="M110" s="263">
        <f t="shared" si="6"/>
        <v>50000</v>
      </c>
      <c r="N110" s="264">
        <f t="shared" si="5"/>
        <v>0</v>
      </c>
      <c r="O110" s="270"/>
      <c r="P110" s="478"/>
      <c r="Q110" s="177"/>
      <c r="R110" s="178"/>
      <c r="S110" s="179"/>
      <c r="T110" s="180"/>
      <c r="U110" s="305"/>
      <c r="V110" s="180"/>
      <c r="W110" s="29"/>
      <c r="Y110" s="29"/>
      <c r="Z110" s="30"/>
      <c r="AA110" s="289"/>
      <c r="AB110" s="290"/>
      <c r="AC110" s="291"/>
      <c r="AD110" s="292"/>
      <c r="AE110" s="293"/>
      <c r="AF110" s="293"/>
      <c r="AG110" s="293"/>
      <c r="AH110" s="294"/>
      <c r="AI110" s="255"/>
      <c r="AJ110" s="23"/>
    </row>
    <row r="111" spans="1:36" s="14" customFormat="1" ht="63">
      <c r="A111" s="480"/>
      <c r="B111" s="379" t="s">
        <v>142</v>
      </c>
      <c r="C111" s="482" t="s">
        <v>141</v>
      </c>
      <c r="D111" s="258"/>
      <c r="E111" s="438"/>
      <c r="F111" s="366">
        <v>50000</v>
      </c>
      <c r="G111" s="261">
        <v>2024</v>
      </c>
      <c r="H111" s="261">
        <v>2024</v>
      </c>
      <c r="I111" s="260" t="s">
        <v>66</v>
      </c>
      <c r="J111" s="366"/>
      <c r="K111" s="367"/>
      <c r="L111" s="367"/>
      <c r="M111" s="263">
        <f t="shared" si="6"/>
        <v>50000</v>
      </c>
      <c r="N111" s="264">
        <f t="shared" si="5"/>
        <v>0</v>
      </c>
      <c r="O111" s="483"/>
      <c r="P111" s="478"/>
      <c r="Q111" s="177"/>
      <c r="R111" s="178"/>
      <c r="S111" s="179"/>
      <c r="T111" s="180"/>
      <c r="U111" s="305"/>
      <c r="V111" s="180"/>
      <c r="W111" s="385"/>
      <c r="Y111" s="29"/>
      <c r="Z111" s="30"/>
      <c r="AA111" s="289"/>
      <c r="AB111" s="290"/>
      <c r="AC111" s="291"/>
      <c r="AD111" s="292"/>
      <c r="AE111" s="293"/>
      <c r="AF111" s="293"/>
      <c r="AG111" s="293"/>
      <c r="AH111" s="294"/>
      <c r="AI111" s="255"/>
      <c r="AJ111" s="23"/>
    </row>
    <row r="112" spans="1:36" s="14" customFormat="1" ht="78.75" customHeight="1">
      <c r="A112" s="480"/>
      <c r="B112" s="379" t="s">
        <v>143</v>
      </c>
      <c r="C112" s="437" t="s">
        <v>144</v>
      </c>
      <c r="D112" s="258" t="s">
        <v>47</v>
      </c>
      <c r="E112" s="438">
        <v>0.3</v>
      </c>
      <c r="F112" s="366">
        <v>100000</v>
      </c>
      <c r="G112" s="484">
        <v>2024</v>
      </c>
      <c r="H112" s="484">
        <v>2024</v>
      </c>
      <c r="I112" s="260" t="s">
        <v>66</v>
      </c>
      <c r="J112" s="366"/>
      <c r="K112" s="367"/>
      <c r="L112" s="367"/>
      <c r="M112" s="263">
        <f t="shared" si="6"/>
        <v>100000</v>
      </c>
      <c r="N112" s="264">
        <f t="shared" si="5"/>
        <v>0</v>
      </c>
      <c r="O112" s="483"/>
      <c r="P112" s="478"/>
      <c r="Q112" s="177"/>
      <c r="R112" s="178"/>
      <c r="S112" s="179"/>
      <c r="T112" s="180"/>
      <c r="U112" s="305"/>
      <c r="V112" s="180"/>
      <c r="W112" s="29"/>
      <c r="Y112" s="29"/>
      <c r="Z112" s="30"/>
      <c r="AA112" s="289"/>
      <c r="AB112" s="290"/>
      <c r="AC112" s="291"/>
      <c r="AD112" s="292"/>
      <c r="AE112" s="293"/>
      <c r="AF112" s="293"/>
      <c r="AG112" s="293"/>
      <c r="AH112" s="294"/>
      <c r="AI112" s="255"/>
      <c r="AJ112" s="23"/>
    </row>
    <row r="113" spans="1:36" s="14" customFormat="1" ht="75" customHeight="1">
      <c r="A113" s="480"/>
      <c r="B113" s="379" t="s">
        <v>145</v>
      </c>
      <c r="C113" s="482" t="s">
        <v>144</v>
      </c>
      <c r="D113" s="258" t="s">
        <v>47</v>
      </c>
      <c r="E113" s="438">
        <v>0.28</v>
      </c>
      <c r="F113" s="366">
        <v>150000</v>
      </c>
      <c r="G113" s="484">
        <v>2024</v>
      </c>
      <c r="H113" s="484">
        <v>2024</v>
      </c>
      <c r="I113" s="260" t="s">
        <v>66</v>
      </c>
      <c r="J113" s="366"/>
      <c r="K113" s="367"/>
      <c r="L113" s="367"/>
      <c r="M113" s="263">
        <f t="shared" si="6"/>
        <v>150000</v>
      </c>
      <c r="N113" s="264">
        <f t="shared" si="5"/>
        <v>0</v>
      </c>
      <c r="O113" s="483"/>
      <c r="P113" s="478"/>
      <c r="Q113" s="177"/>
      <c r="R113" s="178"/>
      <c r="S113" s="179"/>
      <c r="T113" s="180"/>
      <c r="U113" s="305"/>
      <c r="V113" s="180"/>
      <c r="W113" s="29"/>
      <c r="Y113" s="29"/>
      <c r="Z113" s="30"/>
      <c r="AA113" s="289"/>
      <c r="AB113" s="290"/>
      <c r="AC113" s="291"/>
      <c r="AD113" s="292"/>
      <c r="AE113" s="293"/>
      <c r="AF113" s="293"/>
      <c r="AG113" s="293"/>
      <c r="AH113" s="294"/>
      <c r="AI113" s="255"/>
      <c r="AJ113" s="23"/>
    </row>
    <row r="114" spans="1:36" s="14" customFormat="1" ht="63">
      <c r="A114" s="485"/>
      <c r="B114" s="256" t="s">
        <v>146</v>
      </c>
      <c r="C114" s="486" t="s">
        <v>69</v>
      </c>
      <c r="D114" s="258" t="s">
        <v>47</v>
      </c>
      <c r="E114" s="438">
        <v>0.49</v>
      </c>
      <c r="F114" s="366">
        <v>132300</v>
      </c>
      <c r="G114" s="366" t="s">
        <v>79</v>
      </c>
      <c r="H114" s="366" t="s">
        <v>79</v>
      </c>
      <c r="I114" s="260" t="s">
        <v>66</v>
      </c>
      <c r="J114" s="260" t="s">
        <v>72</v>
      </c>
      <c r="K114" s="367"/>
      <c r="L114" s="367"/>
      <c r="M114" s="263">
        <f t="shared" si="6"/>
        <v>132300</v>
      </c>
      <c r="N114" s="264">
        <f t="shared" si="5"/>
        <v>0</v>
      </c>
      <c r="O114" s="270"/>
      <c r="P114" s="478"/>
      <c r="Q114" s="177"/>
      <c r="R114" s="178"/>
      <c r="S114" s="179"/>
      <c r="T114" s="180"/>
      <c r="U114" s="305"/>
      <c r="V114" s="180"/>
      <c r="W114" s="29"/>
      <c r="Y114" s="29"/>
      <c r="Z114" s="30"/>
      <c r="AA114" s="289"/>
      <c r="AB114" s="290"/>
      <c r="AC114" s="291"/>
      <c r="AD114" s="292"/>
      <c r="AE114" s="293"/>
      <c r="AF114" s="293"/>
      <c r="AG114" s="293"/>
      <c r="AH114" s="294"/>
      <c r="AI114" s="255"/>
      <c r="AJ114" s="23"/>
    </row>
    <row r="115" spans="1:36" s="14" customFormat="1" ht="63">
      <c r="A115" s="485"/>
      <c r="B115" s="256" t="s">
        <v>147</v>
      </c>
      <c r="C115" s="437" t="s">
        <v>69</v>
      </c>
      <c r="D115" s="258" t="s">
        <v>47</v>
      </c>
      <c r="E115" s="438">
        <v>0.67</v>
      </c>
      <c r="F115" s="366">
        <f>180900-10357.23-2950.48</f>
        <v>167592.28999999998</v>
      </c>
      <c r="G115" s="366" t="s">
        <v>79</v>
      </c>
      <c r="H115" s="366" t="s">
        <v>79</v>
      </c>
      <c r="I115" s="260" t="s">
        <v>66</v>
      </c>
      <c r="J115" s="260" t="s">
        <v>72</v>
      </c>
      <c r="K115" s="367"/>
      <c r="L115" s="367"/>
      <c r="M115" s="263">
        <f t="shared" si="6"/>
        <v>167592.28999999998</v>
      </c>
      <c r="N115" s="264">
        <f t="shared" si="5"/>
        <v>0</v>
      </c>
      <c r="O115" s="270"/>
      <c r="P115" s="478"/>
      <c r="Q115" s="177"/>
      <c r="R115" s="178"/>
      <c r="S115" s="179"/>
      <c r="T115" s="180"/>
      <c r="U115" s="305"/>
      <c r="V115" s="180"/>
      <c r="W115" s="29"/>
      <c r="Y115" s="29"/>
      <c r="Z115" s="30"/>
      <c r="AA115" s="289"/>
      <c r="AB115" s="290"/>
      <c r="AC115" s="291"/>
      <c r="AD115" s="292"/>
      <c r="AE115" s="293"/>
      <c r="AF115" s="293"/>
      <c r="AG115" s="293"/>
      <c r="AH115" s="294"/>
      <c r="AI115" s="255"/>
      <c r="AJ115" s="23"/>
    </row>
    <row r="116" spans="1:36" s="14" customFormat="1" ht="90">
      <c r="A116" s="487"/>
      <c r="B116" s="393" t="s">
        <v>148</v>
      </c>
      <c r="C116" s="242" t="s">
        <v>149</v>
      </c>
      <c r="D116" s="258" t="s">
        <v>47</v>
      </c>
      <c r="E116" s="438">
        <v>2.115</v>
      </c>
      <c r="F116" s="366">
        <f>110000+61356.25-24361.89-3540.29</f>
        <v>143454.06999999998</v>
      </c>
      <c r="G116" s="366" t="s">
        <v>79</v>
      </c>
      <c r="H116" s="366" t="s">
        <v>79</v>
      </c>
      <c r="I116" s="260" t="s">
        <v>66</v>
      </c>
      <c r="J116" s="260" t="s">
        <v>72</v>
      </c>
      <c r="K116" s="367"/>
      <c r="L116" s="367"/>
      <c r="M116" s="263">
        <f t="shared" si="6"/>
        <v>103995.09999999998</v>
      </c>
      <c r="N116" s="264">
        <f t="shared" si="5"/>
        <v>39458.97</v>
      </c>
      <c r="O116" s="270"/>
      <c r="P116" s="478"/>
      <c r="Q116" s="177">
        <v>39458.97</v>
      </c>
      <c r="R116" s="177"/>
      <c r="S116" s="179"/>
      <c r="T116" s="180"/>
      <c r="U116" s="305"/>
      <c r="V116" s="180"/>
      <c r="W116" s="29"/>
      <c r="Y116" s="29"/>
      <c r="Z116" s="30"/>
      <c r="AA116" s="289"/>
      <c r="AB116" s="290"/>
      <c r="AC116" s="291"/>
      <c r="AD116" s="292"/>
      <c r="AE116" s="293"/>
      <c r="AF116" s="293"/>
      <c r="AG116" s="293"/>
      <c r="AH116" s="294"/>
      <c r="AI116" s="488" t="s">
        <v>150</v>
      </c>
      <c r="AJ116" s="489">
        <v>249956.25</v>
      </c>
    </row>
    <row r="117" spans="1:36" s="14" customFormat="1" ht="63">
      <c r="A117" s="485"/>
      <c r="B117" s="380" t="s">
        <v>151</v>
      </c>
      <c r="C117" s="437" t="s">
        <v>69</v>
      </c>
      <c r="D117" s="258" t="s">
        <v>47</v>
      </c>
      <c r="E117" s="438">
        <v>0.27</v>
      </c>
      <c r="F117" s="366">
        <f>68000+10357.23</f>
        <v>78357.23</v>
      </c>
      <c r="G117" s="366" t="s">
        <v>78</v>
      </c>
      <c r="H117" s="366" t="s">
        <v>79</v>
      </c>
      <c r="I117" s="260" t="s">
        <v>66</v>
      </c>
      <c r="J117" s="260" t="s">
        <v>72</v>
      </c>
      <c r="K117" s="367"/>
      <c r="L117" s="367"/>
      <c r="M117" s="263">
        <f t="shared" si="6"/>
        <v>0</v>
      </c>
      <c r="N117" s="264">
        <f t="shared" si="5"/>
        <v>78357.23</v>
      </c>
      <c r="O117" s="270"/>
      <c r="P117" s="478"/>
      <c r="Q117" s="177"/>
      <c r="R117" s="177">
        <v>78357.23</v>
      </c>
      <c r="S117" s="179"/>
      <c r="T117" s="180"/>
      <c r="U117" s="305"/>
      <c r="V117" s="180"/>
      <c r="W117" s="29"/>
      <c r="Y117" s="29"/>
      <c r="Z117" s="30"/>
      <c r="AA117" s="289"/>
      <c r="AB117" s="290"/>
      <c r="AC117" s="291"/>
      <c r="AD117" s="292"/>
      <c r="AE117" s="293"/>
      <c r="AF117" s="293"/>
      <c r="AG117" s="293"/>
      <c r="AH117" s="294"/>
      <c r="AI117" s="255"/>
      <c r="AJ117" s="23"/>
    </row>
    <row r="118" spans="1:36" s="14" customFormat="1" ht="63.75" thickBot="1">
      <c r="A118" s="485"/>
      <c r="B118" s="380" t="s">
        <v>152</v>
      </c>
      <c r="C118" s="437" t="s">
        <v>69</v>
      </c>
      <c r="D118" s="258" t="s">
        <v>47</v>
      </c>
      <c r="E118" s="438">
        <v>0.15</v>
      </c>
      <c r="F118" s="366">
        <f>38000+2950.48</f>
        <v>40950.48</v>
      </c>
      <c r="G118" s="366" t="s">
        <v>78</v>
      </c>
      <c r="H118" s="366" t="s">
        <v>79</v>
      </c>
      <c r="I118" s="260" t="s">
        <v>66</v>
      </c>
      <c r="J118" s="260" t="s">
        <v>72</v>
      </c>
      <c r="K118" s="367"/>
      <c r="L118" s="367"/>
      <c r="M118" s="263">
        <f t="shared" si="6"/>
        <v>0</v>
      </c>
      <c r="N118" s="264">
        <f t="shared" si="5"/>
        <v>40950.48</v>
      </c>
      <c r="O118" s="270"/>
      <c r="P118" s="478"/>
      <c r="Q118" s="177"/>
      <c r="R118" s="178">
        <v>40950.48</v>
      </c>
      <c r="S118" s="179"/>
      <c r="T118" s="180"/>
      <c r="U118" s="305"/>
      <c r="V118" s="180"/>
      <c r="W118" s="29"/>
      <c r="Y118" s="29"/>
      <c r="Z118" s="30"/>
      <c r="AA118" s="289"/>
      <c r="AB118" s="290"/>
      <c r="AC118" s="291"/>
      <c r="AD118" s="292"/>
      <c r="AE118" s="293"/>
      <c r="AF118" s="293"/>
      <c r="AG118" s="293"/>
      <c r="AH118" s="294"/>
      <c r="AI118" s="255"/>
      <c r="AJ118" s="23"/>
    </row>
    <row r="119" spans="1:35" ht="12" customHeight="1" hidden="1">
      <c r="A119" s="490"/>
      <c r="B119" s="491"/>
      <c r="C119" s="334"/>
      <c r="D119" s="326"/>
      <c r="E119" s="492"/>
      <c r="F119" s="329"/>
      <c r="G119" s="329"/>
      <c r="H119" s="329"/>
      <c r="I119" s="329"/>
      <c r="J119" s="329"/>
      <c r="K119" s="330"/>
      <c r="L119" s="330"/>
      <c r="M119" s="263">
        <f t="shared" si="6"/>
        <v>0</v>
      </c>
      <c r="N119" s="264">
        <f t="shared" si="5"/>
        <v>0</v>
      </c>
      <c r="O119" s="270"/>
      <c r="P119" s="478"/>
      <c r="Q119" s="177"/>
      <c r="R119" s="178"/>
      <c r="S119" s="179"/>
      <c r="T119" s="180"/>
      <c r="U119" s="305"/>
      <c r="V119" s="180"/>
      <c r="AA119" s="314"/>
      <c r="AB119" s="315"/>
      <c r="AC119" s="316"/>
      <c r="AD119" s="317"/>
      <c r="AE119" s="318"/>
      <c r="AF119" s="318"/>
      <c r="AG119" s="318"/>
      <c r="AH119" s="319"/>
      <c r="AI119" s="320"/>
    </row>
    <row r="120" spans="1:35" ht="12" customHeight="1" hidden="1">
      <c r="A120" s="490"/>
      <c r="B120" s="491"/>
      <c r="C120" s="334"/>
      <c r="D120" s="326"/>
      <c r="E120" s="492"/>
      <c r="F120" s="329"/>
      <c r="G120" s="329"/>
      <c r="H120" s="329"/>
      <c r="I120" s="329"/>
      <c r="J120" s="329"/>
      <c r="K120" s="330"/>
      <c r="L120" s="330"/>
      <c r="M120" s="263">
        <f t="shared" si="6"/>
        <v>0</v>
      </c>
      <c r="N120" s="264">
        <f t="shared" si="5"/>
        <v>0</v>
      </c>
      <c r="O120" s="270"/>
      <c r="P120" s="478"/>
      <c r="Q120" s="177"/>
      <c r="R120" s="178"/>
      <c r="S120" s="179"/>
      <c r="T120" s="180"/>
      <c r="U120" s="305"/>
      <c r="V120" s="180"/>
      <c r="AA120" s="314"/>
      <c r="AB120" s="315"/>
      <c r="AC120" s="316"/>
      <c r="AD120" s="317"/>
      <c r="AE120" s="318"/>
      <c r="AF120" s="318"/>
      <c r="AG120" s="318"/>
      <c r="AH120" s="319"/>
      <c r="AI120" s="320"/>
    </row>
    <row r="121" spans="1:35" ht="12" customHeight="1" hidden="1">
      <c r="A121" s="493"/>
      <c r="B121" s="494"/>
      <c r="C121" s="340"/>
      <c r="D121" s="341"/>
      <c r="E121" s="495"/>
      <c r="F121" s="496"/>
      <c r="G121" s="496"/>
      <c r="H121" s="496"/>
      <c r="I121" s="496"/>
      <c r="J121" s="496"/>
      <c r="K121" s="330"/>
      <c r="L121" s="330"/>
      <c r="M121" s="263">
        <f t="shared" si="6"/>
        <v>0</v>
      </c>
      <c r="N121" s="264">
        <f t="shared" si="5"/>
        <v>0</v>
      </c>
      <c r="O121" s="270"/>
      <c r="P121" s="478"/>
      <c r="Q121" s="177"/>
      <c r="R121" s="178"/>
      <c r="S121" s="179"/>
      <c r="T121" s="180"/>
      <c r="U121" s="305"/>
      <c r="V121" s="180"/>
      <c r="AA121" s="314"/>
      <c r="AB121" s="315"/>
      <c r="AC121" s="316"/>
      <c r="AD121" s="317"/>
      <c r="AE121" s="318"/>
      <c r="AF121" s="318"/>
      <c r="AG121" s="318"/>
      <c r="AH121" s="319"/>
      <c r="AI121" s="320"/>
    </row>
    <row r="122" spans="1:36" s="233" customFormat="1" ht="33" customHeight="1" thickBot="1">
      <c r="A122" s="470" t="s">
        <v>153</v>
      </c>
      <c r="B122" s="497" t="s">
        <v>154</v>
      </c>
      <c r="C122" s="498"/>
      <c r="D122" s="499" t="s">
        <v>47</v>
      </c>
      <c r="E122" s="500">
        <f>E123</f>
        <v>0</v>
      </c>
      <c r="F122" s="501">
        <f>SUM(F124:F125)</f>
        <v>344402.18</v>
      </c>
      <c r="G122" s="501"/>
      <c r="H122" s="501"/>
      <c r="I122" s="501"/>
      <c r="J122" s="501"/>
      <c r="K122" s="502"/>
      <c r="L122" s="502"/>
      <c r="M122" s="263"/>
      <c r="N122" s="264">
        <f t="shared" si="5"/>
        <v>0</v>
      </c>
      <c r="O122" s="351"/>
      <c r="P122" s="503"/>
      <c r="Q122" s="226"/>
      <c r="R122" s="227"/>
      <c r="S122" s="228"/>
      <c r="T122" s="229"/>
      <c r="U122" s="426"/>
      <c r="V122" s="229"/>
      <c r="W122" s="232"/>
      <c r="Y122" s="232"/>
      <c r="Z122" s="234"/>
      <c r="AA122" s="504">
        <f>F124+F125</f>
        <v>344402.18</v>
      </c>
      <c r="AB122" s="505"/>
      <c r="AC122" s="506"/>
      <c r="AD122" s="507"/>
      <c r="AE122" s="508"/>
      <c r="AF122" s="508"/>
      <c r="AG122" s="508"/>
      <c r="AH122" s="509"/>
      <c r="AI122" s="239" t="str">
        <f>IF(F122=AA122+AB122+AC122+AD122+AH122,"ОК")</f>
        <v>ОК</v>
      </c>
      <c r="AJ122" s="240">
        <f>295800-295800+231000+85500</f>
        <v>316500</v>
      </c>
    </row>
    <row r="123" spans="1:36" s="22" customFormat="1" ht="24" customHeight="1">
      <c r="A123" s="510"/>
      <c r="B123" s="357" t="s">
        <v>155</v>
      </c>
      <c r="C123" s="511"/>
      <c r="D123" s="359"/>
      <c r="E123" s="512"/>
      <c r="F123" s="513"/>
      <c r="G123" s="514"/>
      <c r="H123" s="514"/>
      <c r="I123" s="514"/>
      <c r="J123" s="515"/>
      <c r="K123" s="516"/>
      <c r="L123" s="516"/>
      <c r="M123" s="263"/>
      <c r="N123" s="264"/>
      <c r="O123" s="517"/>
      <c r="P123" s="478"/>
      <c r="Q123" s="187"/>
      <c r="R123" s="518"/>
      <c r="S123" s="519"/>
      <c r="T123" s="520"/>
      <c r="U123" s="521"/>
      <c r="V123" s="520"/>
      <c r="W123" s="522"/>
      <c r="X123" s="523"/>
      <c r="Y123" s="522"/>
      <c r="Z123" s="30"/>
      <c r="AA123" s="54"/>
      <c r="AB123" s="524"/>
      <c r="AC123" s="525"/>
      <c r="AD123" s="526"/>
      <c r="AE123" s="527"/>
      <c r="AF123" s="527"/>
      <c r="AG123" s="527"/>
      <c r="AH123" s="528"/>
      <c r="AI123" s="255"/>
      <c r="AJ123" s="529"/>
    </row>
    <row r="124" spans="1:36" s="14" customFormat="1" ht="60.75" customHeight="1">
      <c r="A124" s="530"/>
      <c r="B124" s="256" t="s">
        <v>87</v>
      </c>
      <c r="C124" s="486" t="s">
        <v>69</v>
      </c>
      <c r="D124" s="258" t="s">
        <v>47</v>
      </c>
      <c r="E124" s="438">
        <v>0.75</v>
      </c>
      <c r="F124" s="531">
        <f>231000+24361.89</f>
        <v>255361.89</v>
      </c>
      <c r="G124" s="532" t="s">
        <v>78</v>
      </c>
      <c r="H124" s="533" t="s">
        <v>92</v>
      </c>
      <c r="I124" s="260" t="s">
        <v>66</v>
      </c>
      <c r="J124" s="260" t="s">
        <v>72</v>
      </c>
      <c r="K124" s="534"/>
      <c r="L124" s="534"/>
      <c r="M124" s="263">
        <f>F124-N124</f>
        <v>0</v>
      </c>
      <c r="N124" s="264">
        <f t="shared" si="5"/>
        <v>255361.89</v>
      </c>
      <c r="O124" s="270"/>
      <c r="P124" s="478"/>
      <c r="Q124" s="177"/>
      <c r="R124" s="518">
        <v>255361.89</v>
      </c>
      <c r="S124" s="179"/>
      <c r="T124" s="180"/>
      <c r="U124" s="305"/>
      <c r="V124" s="180"/>
      <c r="W124" s="29"/>
      <c r="X124" s="481"/>
      <c r="Y124" s="29"/>
      <c r="Z124" s="30"/>
      <c r="AA124" s="289"/>
      <c r="AB124" s="290"/>
      <c r="AC124" s="291"/>
      <c r="AD124" s="292"/>
      <c r="AE124" s="293"/>
      <c r="AF124" s="293"/>
      <c r="AG124" s="293"/>
      <c r="AH124" s="294"/>
      <c r="AI124" s="255"/>
      <c r="AJ124" s="23"/>
    </row>
    <row r="125" spans="1:36" s="14" customFormat="1" ht="60.75" customHeight="1" thickBot="1">
      <c r="A125" s="535"/>
      <c r="B125" s="536" t="s">
        <v>156</v>
      </c>
      <c r="C125" s="486" t="s">
        <v>69</v>
      </c>
      <c r="D125" s="258" t="s">
        <v>47</v>
      </c>
      <c r="E125" s="537">
        <v>0.27</v>
      </c>
      <c r="F125" s="538">
        <f>85500+3540.29</f>
        <v>89040.29</v>
      </c>
      <c r="G125" s="539" t="s">
        <v>78</v>
      </c>
      <c r="H125" s="539" t="s">
        <v>92</v>
      </c>
      <c r="I125" s="260" t="s">
        <v>66</v>
      </c>
      <c r="J125" s="260" t="s">
        <v>72</v>
      </c>
      <c r="K125" s="367"/>
      <c r="L125" s="367"/>
      <c r="M125" s="263">
        <f>F125-N125</f>
        <v>0</v>
      </c>
      <c r="N125" s="264">
        <f>SUM(O125:Z125)</f>
        <v>89040.29</v>
      </c>
      <c r="O125" s="270"/>
      <c r="P125" s="478"/>
      <c r="Q125" s="177"/>
      <c r="R125" s="518">
        <v>89040.29</v>
      </c>
      <c r="S125" s="179"/>
      <c r="T125" s="180"/>
      <c r="U125" s="305"/>
      <c r="V125" s="180"/>
      <c r="W125" s="29"/>
      <c r="X125" s="481"/>
      <c r="Y125" s="29"/>
      <c r="Z125" s="30"/>
      <c r="AA125" s="289"/>
      <c r="AB125" s="290"/>
      <c r="AC125" s="291"/>
      <c r="AD125" s="292"/>
      <c r="AE125" s="293"/>
      <c r="AF125" s="293"/>
      <c r="AG125" s="293"/>
      <c r="AH125" s="294"/>
      <c r="AI125" s="255"/>
      <c r="AJ125" s="23"/>
    </row>
    <row r="126" spans="1:36" s="233" customFormat="1" ht="30" customHeight="1" thickBot="1">
      <c r="A126" s="470" t="s">
        <v>157</v>
      </c>
      <c r="B126" s="345" t="s">
        <v>158</v>
      </c>
      <c r="C126" s="540"/>
      <c r="D126" s="347" t="s">
        <v>47</v>
      </c>
      <c r="E126" s="348">
        <f>SUM(E127:E128)</f>
        <v>0</v>
      </c>
      <c r="F126" s="349">
        <f>SUM(F127:F128)</f>
        <v>0</v>
      </c>
      <c r="G126" s="349"/>
      <c r="H126" s="349"/>
      <c r="I126" s="349"/>
      <c r="J126" s="349"/>
      <c r="K126" s="350"/>
      <c r="L126" s="350"/>
      <c r="M126" s="263"/>
      <c r="N126" s="264">
        <f t="shared" si="5"/>
        <v>0</v>
      </c>
      <c r="O126" s="351"/>
      <c r="P126" s="503"/>
      <c r="Q126" s="226"/>
      <c r="R126" s="518"/>
      <c r="S126" s="228"/>
      <c r="T126" s="229"/>
      <c r="U126" s="426"/>
      <c r="V126" s="229"/>
      <c r="W126" s="232"/>
      <c r="Y126" s="232"/>
      <c r="Z126" s="234"/>
      <c r="AA126" s="352">
        <f>F126</f>
        <v>0</v>
      </c>
      <c r="AB126" s="541"/>
      <c r="AC126" s="353"/>
      <c r="AD126" s="354"/>
      <c r="AE126" s="355"/>
      <c r="AF126" s="355"/>
      <c r="AG126" s="355"/>
      <c r="AH126" s="356"/>
      <c r="AI126" s="239" t="str">
        <f>IF(F126=AA126+AB126+AC126+AD126+AH126,"ОК")</f>
        <v>ОК</v>
      </c>
      <c r="AJ126" s="240"/>
    </row>
    <row r="127" spans="1:36" s="14" customFormat="1" ht="24" customHeight="1" hidden="1">
      <c r="A127" s="535"/>
      <c r="B127" s="542"/>
      <c r="C127" s="1014"/>
      <c r="D127" s="543"/>
      <c r="E127" s="544"/>
      <c r="F127" s="545"/>
      <c r="G127" s="545"/>
      <c r="H127" s="545"/>
      <c r="I127" s="545"/>
      <c r="J127" s="545"/>
      <c r="K127" s="367"/>
      <c r="L127" s="367"/>
      <c r="M127" s="263">
        <f>F127-N127</f>
        <v>0</v>
      </c>
      <c r="N127" s="264">
        <f t="shared" si="5"/>
        <v>0</v>
      </c>
      <c r="O127" s="270"/>
      <c r="P127" s="478"/>
      <c r="Q127" s="177"/>
      <c r="R127" s="178"/>
      <c r="S127" s="179"/>
      <c r="T127" s="180"/>
      <c r="U127" s="305"/>
      <c r="V127" s="546"/>
      <c r="W127" s="29"/>
      <c r="Y127" s="29"/>
      <c r="Z127" s="30"/>
      <c r="AA127" s="289"/>
      <c r="AB127" s="290"/>
      <c r="AC127" s="291"/>
      <c r="AD127" s="292"/>
      <c r="AE127" s="293"/>
      <c r="AF127" s="293"/>
      <c r="AG127" s="293"/>
      <c r="AH127" s="294"/>
      <c r="AI127" s="255"/>
      <c r="AJ127" s="23"/>
    </row>
    <row r="128" spans="1:36" s="14" customFormat="1" ht="27.75" customHeight="1" hidden="1">
      <c r="A128" s="535"/>
      <c r="B128" s="536"/>
      <c r="C128" s="1015"/>
      <c r="D128" s="547"/>
      <c r="E128" s="537"/>
      <c r="F128" s="548"/>
      <c r="G128" s="548"/>
      <c r="H128" s="548"/>
      <c r="I128" s="548"/>
      <c r="J128" s="548"/>
      <c r="K128" s="367"/>
      <c r="L128" s="367"/>
      <c r="M128" s="263">
        <f>F128-N128</f>
        <v>0</v>
      </c>
      <c r="N128" s="264">
        <f t="shared" si="5"/>
        <v>0</v>
      </c>
      <c r="O128" s="270"/>
      <c r="P128" s="478"/>
      <c r="Q128" s="177"/>
      <c r="R128" s="178"/>
      <c r="S128" s="179"/>
      <c r="T128" s="180"/>
      <c r="U128" s="305"/>
      <c r="V128" s="546"/>
      <c r="W128" s="29"/>
      <c r="Y128" s="29"/>
      <c r="Z128" s="30"/>
      <c r="AA128" s="289"/>
      <c r="AB128" s="290"/>
      <c r="AC128" s="291"/>
      <c r="AD128" s="292"/>
      <c r="AE128" s="293"/>
      <c r="AF128" s="293"/>
      <c r="AG128" s="293"/>
      <c r="AH128" s="294"/>
      <c r="AI128" s="255"/>
      <c r="AJ128" s="23"/>
    </row>
    <row r="129" spans="1:36" s="233" customFormat="1" ht="33.75" customHeight="1" thickBot="1">
      <c r="A129" s="470" t="s">
        <v>159</v>
      </c>
      <c r="B129" s="345" t="s">
        <v>160</v>
      </c>
      <c r="C129" s="346"/>
      <c r="D129" s="347" t="s">
        <v>47</v>
      </c>
      <c r="E129" s="348">
        <f>SUM(E130:E133)</f>
        <v>1.263</v>
      </c>
      <c r="F129" s="349">
        <f>SUM(F130:F133)</f>
        <v>237000</v>
      </c>
      <c r="G129" s="349"/>
      <c r="H129" s="349"/>
      <c r="I129" s="349"/>
      <c r="J129" s="349"/>
      <c r="K129" s="350"/>
      <c r="L129" s="350"/>
      <c r="M129" s="263"/>
      <c r="N129" s="264">
        <f t="shared" si="5"/>
        <v>0</v>
      </c>
      <c r="O129" s="351"/>
      <c r="P129" s="503"/>
      <c r="Q129" s="226"/>
      <c r="R129" s="227"/>
      <c r="S129" s="228"/>
      <c r="T129" s="229"/>
      <c r="U129" s="426"/>
      <c r="V129" s="229"/>
      <c r="W129" s="232"/>
      <c r="Y129" s="232"/>
      <c r="Z129" s="234"/>
      <c r="AA129" s="352">
        <f>F133</f>
        <v>217000</v>
      </c>
      <c r="AB129" s="236">
        <f>F131</f>
        <v>20000</v>
      </c>
      <c r="AC129" s="353"/>
      <c r="AD129" s="354"/>
      <c r="AE129" s="355"/>
      <c r="AF129" s="355"/>
      <c r="AG129" s="355"/>
      <c r="AH129" s="356"/>
      <c r="AI129" s="239" t="str">
        <f>IF(F129=AA129+AB129+AC129+AD129+AH129,"ОК")</f>
        <v>ОК</v>
      </c>
      <c r="AJ129" s="240">
        <f>200000-180000+217000</f>
        <v>237000</v>
      </c>
    </row>
    <row r="130" spans="1:36" s="14" customFormat="1" ht="24" customHeight="1">
      <c r="A130" s="473"/>
      <c r="B130" s="549" t="s">
        <v>161</v>
      </c>
      <c r="C130" s="550"/>
      <c r="D130" s="363"/>
      <c r="E130" s="475"/>
      <c r="F130" s="551"/>
      <c r="G130" s="552"/>
      <c r="H130" s="553"/>
      <c r="I130" s="554"/>
      <c r="J130" s="555"/>
      <c r="K130" s="367"/>
      <c r="L130" s="367"/>
      <c r="M130" s="263"/>
      <c r="N130" s="264"/>
      <c r="O130" s="270"/>
      <c r="P130" s="187"/>
      <c r="Q130" s="177"/>
      <c r="R130" s="178"/>
      <c r="S130" s="179"/>
      <c r="T130" s="180"/>
      <c r="U130" s="305"/>
      <c r="V130" s="180"/>
      <c r="W130" s="29"/>
      <c r="Y130" s="29"/>
      <c r="Z130" s="30"/>
      <c r="AA130" s="289"/>
      <c r="AB130" s="290"/>
      <c r="AC130" s="291"/>
      <c r="AD130" s="292"/>
      <c r="AE130" s="293"/>
      <c r="AF130" s="293"/>
      <c r="AG130" s="293"/>
      <c r="AH130" s="294"/>
      <c r="AI130" s="255"/>
      <c r="AJ130" s="23"/>
    </row>
    <row r="131" spans="1:36" s="14" customFormat="1" ht="63">
      <c r="A131" s="485"/>
      <c r="B131" s="556" t="s">
        <v>162</v>
      </c>
      <c r="C131" s="550" t="s">
        <v>163</v>
      </c>
      <c r="D131" s="258" t="s">
        <v>47</v>
      </c>
      <c r="E131" s="438">
        <v>0.513</v>
      </c>
      <c r="F131" s="531">
        <v>20000</v>
      </c>
      <c r="G131" s="557">
        <v>2024</v>
      </c>
      <c r="H131" s="558">
        <v>2024</v>
      </c>
      <c r="I131" s="559" t="s">
        <v>66</v>
      </c>
      <c r="J131" s="560"/>
      <c r="K131" s="367"/>
      <c r="L131" s="367"/>
      <c r="M131" s="263">
        <f>F131-N131</f>
        <v>20000</v>
      </c>
      <c r="N131" s="264">
        <f t="shared" si="5"/>
        <v>0</v>
      </c>
      <c r="O131" s="270"/>
      <c r="P131" s="187"/>
      <c r="Q131" s="177"/>
      <c r="R131" s="178"/>
      <c r="S131" s="179"/>
      <c r="T131" s="180"/>
      <c r="U131" s="305"/>
      <c r="V131" s="180"/>
      <c r="W131" s="288"/>
      <c r="Y131" s="29"/>
      <c r="Z131" s="30"/>
      <c r="AA131" s="289"/>
      <c r="AB131" s="290"/>
      <c r="AC131" s="291"/>
      <c r="AD131" s="292"/>
      <c r="AE131" s="293"/>
      <c r="AF131" s="293"/>
      <c r="AG131" s="293"/>
      <c r="AH131" s="294"/>
      <c r="AI131" s="255"/>
      <c r="AJ131" s="23"/>
    </row>
    <row r="132" spans="1:36" s="578" customFormat="1" ht="24" customHeight="1">
      <c r="A132" s="561"/>
      <c r="B132" s="562" t="s">
        <v>164</v>
      </c>
      <c r="C132" s="563"/>
      <c r="D132" s="564"/>
      <c r="E132" s="565"/>
      <c r="F132" s="566"/>
      <c r="G132" s="567"/>
      <c r="H132" s="568"/>
      <c r="I132" s="567"/>
      <c r="J132" s="569"/>
      <c r="K132" s="570"/>
      <c r="L132" s="570"/>
      <c r="M132" s="263"/>
      <c r="N132" s="264"/>
      <c r="O132" s="571"/>
      <c r="P132" s="572"/>
      <c r="Q132" s="572"/>
      <c r="R132" s="573"/>
      <c r="S132" s="574"/>
      <c r="T132" s="575"/>
      <c r="U132" s="576"/>
      <c r="V132" s="575"/>
      <c r="W132" s="577"/>
      <c r="Y132" s="579"/>
      <c r="Z132" s="580"/>
      <c r="AA132" s="581"/>
      <c r="AB132" s="582"/>
      <c r="AC132" s="583"/>
      <c r="AD132" s="584"/>
      <c r="AE132" s="585"/>
      <c r="AF132" s="585"/>
      <c r="AG132" s="585"/>
      <c r="AH132" s="586"/>
      <c r="AI132" s="587"/>
      <c r="AJ132" s="588"/>
    </row>
    <row r="133" spans="1:36" s="14" customFormat="1" ht="63.75" thickBot="1">
      <c r="A133" s="535"/>
      <c r="B133" s="556" t="s">
        <v>165</v>
      </c>
      <c r="C133" s="589" t="s">
        <v>69</v>
      </c>
      <c r="D133" s="547" t="s">
        <v>47</v>
      </c>
      <c r="E133" s="537">
        <v>0.75</v>
      </c>
      <c r="F133" s="538">
        <v>217000</v>
      </c>
      <c r="G133" s="590" t="s">
        <v>78</v>
      </c>
      <c r="H133" s="534" t="s">
        <v>79</v>
      </c>
      <c r="I133" s="591" t="s">
        <v>66</v>
      </c>
      <c r="J133" s="260" t="s">
        <v>72</v>
      </c>
      <c r="K133" s="367"/>
      <c r="L133" s="367"/>
      <c r="M133" s="263">
        <f>F133-N133</f>
        <v>4325.239999999991</v>
      </c>
      <c r="N133" s="264">
        <f t="shared" si="5"/>
        <v>212674.76</v>
      </c>
      <c r="O133" s="270"/>
      <c r="P133" s="187"/>
      <c r="Q133" s="177"/>
      <c r="R133" s="178">
        <v>212674.76</v>
      </c>
      <c r="S133" s="179"/>
      <c r="T133" s="180"/>
      <c r="U133" s="305"/>
      <c r="V133" s="180"/>
      <c r="W133" s="288"/>
      <c r="Y133" s="29"/>
      <c r="Z133" s="30"/>
      <c r="AA133" s="289"/>
      <c r="AB133" s="290"/>
      <c r="AC133" s="291"/>
      <c r="AD133" s="292"/>
      <c r="AE133" s="293"/>
      <c r="AF133" s="293"/>
      <c r="AG133" s="293"/>
      <c r="AH133" s="294"/>
      <c r="AI133" s="255"/>
      <c r="AJ133" s="23"/>
    </row>
    <row r="134" spans="1:36" s="233" customFormat="1" ht="35.25" customHeight="1" thickBot="1">
      <c r="A134" s="422" t="s">
        <v>166</v>
      </c>
      <c r="B134" s="345" t="s">
        <v>167</v>
      </c>
      <c r="C134" s="346"/>
      <c r="D134" s="592"/>
      <c r="E134" s="593">
        <f>SUM(E135:E139)</f>
        <v>2.2</v>
      </c>
      <c r="F134" s="594">
        <f>SUM(F136:F138)</f>
        <v>521000</v>
      </c>
      <c r="G134" s="594"/>
      <c r="H134" s="594"/>
      <c r="I134" s="594"/>
      <c r="J134" s="594"/>
      <c r="K134" s="595"/>
      <c r="L134" s="595"/>
      <c r="M134" s="263"/>
      <c r="N134" s="264">
        <f t="shared" si="5"/>
        <v>0</v>
      </c>
      <c r="O134" s="351"/>
      <c r="P134" s="503"/>
      <c r="Q134" s="226"/>
      <c r="R134" s="227"/>
      <c r="S134" s="228"/>
      <c r="T134" s="229"/>
      <c r="U134" s="426"/>
      <c r="V134" s="229"/>
      <c r="W134" s="232"/>
      <c r="Y134" s="232"/>
      <c r="Z134" s="234"/>
      <c r="AA134" s="352">
        <f>F136+F137+F138</f>
        <v>521000</v>
      </c>
      <c r="AB134" s="236">
        <f>F135</f>
        <v>0</v>
      </c>
      <c r="AC134" s="353"/>
      <c r="AD134" s="354"/>
      <c r="AE134" s="355"/>
      <c r="AF134" s="355"/>
      <c r="AG134" s="355"/>
      <c r="AH134" s="356"/>
      <c r="AI134" s="239" t="str">
        <f>IF(F134=AA134+AB134+AC134+AD134+AH134,"ОК")</f>
        <v>ОК</v>
      </c>
      <c r="AJ134" s="240">
        <f>482250-'[1]План 2024 05.02.24'!F131+254000-70563+67000</f>
        <v>521000</v>
      </c>
    </row>
    <row r="135" spans="1:36" s="14" customFormat="1" ht="15.75">
      <c r="A135" s="596">
        <v>72</v>
      </c>
      <c r="B135" s="597" t="s">
        <v>168</v>
      </c>
      <c r="C135" s="374"/>
      <c r="D135" s="363"/>
      <c r="E135" s="475"/>
      <c r="F135" s="598"/>
      <c r="G135" s="598"/>
      <c r="H135" s="598"/>
      <c r="I135" s="598"/>
      <c r="J135" s="598"/>
      <c r="K135" s="367"/>
      <c r="L135" s="367"/>
      <c r="M135" s="263"/>
      <c r="N135" s="264"/>
      <c r="O135" s="265"/>
      <c r="P135" s="478"/>
      <c r="Q135" s="177"/>
      <c r="R135" s="178"/>
      <c r="S135" s="179"/>
      <c r="T135" s="180"/>
      <c r="U135" s="305"/>
      <c r="V135" s="546"/>
      <c r="W135" s="29"/>
      <c r="Y135" s="29"/>
      <c r="Z135" s="30"/>
      <c r="AA135" s="289"/>
      <c r="AB135" s="290"/>
      <c r="AC135" s="291"/>
      <c r="AD135" s="292"/>
      <c r="AE135" s="293"/>
      <c r="AF135" s="293"/>
      <c r="AG135" s="293"/>
      <c r="AH135" s="294"/>
      <c r="AI135" s="255"/>
      <c r="AJ135" s="23"/>
    </row>
    <row r="136" spans="1:36" s="14" customFormat="1" ht="90">
      <c r="A136" s="596"/>
      <c r="B136" s="362" t="s">
        <v>169</v>
      </c>
      <c r="C136" s="374" t="s">
        <v>170</v>
      </c>
      <c r="D136" s="363" t="s">
        <v>47</v>
      </c>
      <c r="E136" s="475">
        <v>0.8</v>
      </c>
      <c r="F136" s="598">
        <v>200000</v>
      </c>
      <c r="G136" s="598" t="s">
        <v>100</v>
      </c>
      <c r="H136" s="598" t="s">
        <v>89</v>
      </c>
      <c r="I136" s="559" t="s">
        <v>66</v>
      </c>
      <c r="J136" s="260" t="s">
        <v>72</v>
      </c>
      <c r="K136" s="367"/>
      <c r="L136" s="367"/>
      <c r="M136" s="263">
        <f>F136-N136</f>
        <v>200000</v>
      </c>
      <c r="N136" s="264">
        <f t="shared" si="5"/>
        <v>0</v>
      </c>
      <c r="O136" s="265"/>
      <c r="P136" s="478"/>
      <c r="Q136" s="177"/>
      <c r="R136" s="178"/>
      <c r="S136" s="179"/>
      <c r="T136" s="180"/>
      <c r="U136" s="305"/>
      <c r="V136" s="546"/>
      <c r="W136" s="29"/>
      <c r="Y136" s="29"/>
      <c r="Z136" s="30"/>
      <c r="AA136" s="289"/>
      <c r="AB136" s="290"/>
      <c r="AC136" s="291"/>
      <c r="AD136" s="292"/>
      <c r="AE136" s="293"/>
      <c r="AF136" s="293"/>
      <c r="AG136" s="293"/>
      <c r="AH136" s="294"/>
      <c r="AI136" s="255"/>
      <c r="AJ136" s="23"/>
    </row>
    <row r="137" spans="1:36" s="14" customFormat="1" ht="63">
      <c r="A137" s="596"/>
      <c r="B137" s="362" t="s">
        <v>75</v>
      </c>
      <c r="C137" s="437" t="s">
        <v>69</v>
      </c>
      <c r="D137" s="363" t="s">
        <v>47</v>
      </c>
      <c r="E137" s="475">
        <v>1.05</v>
      </c>
      <c r="F137" s="598">
        <v>254000</v>
      </c>
      <c r="G137" s="598" t="s">
        <v>78</v>
      </c>
      <c r="H137" s="598" t="s">
        <v>79</v>
      </c>
      <c r="I137" s="559" t="s">
        <v>66</v>
      </c>
      <c r="J137" s="260" t="s">
        <v>72</v>
      </c>
      <c r="K137" s="367"/>
      <c r="L137" s="367"/>
      <c r="M137" s="263">
        <f>F137-N137</f>
        <v>20472.590000000026</v>
      </c>
      <c r="N137" s="264">
        <f t="shared" si="5"/>
        <v>233527.40999999997</v>
      </c>
      <c r="O137" s="265"/>
      <c r="P137" s="478"/>
      <c r="Q137" s="177">
        <v>111670.54</v>
      </c>
      <c r="R137" s="178">
        <v>121856.87</v>
      </c>
      <c r="S137" s="179"/>
      <c r="T137" s="180"/>
      <c r="U137" s="305"/>
      <c r="V137" s="546"/>
      <c r="W137" s="29"/>
      <c r="Y137" s="29"/>
      <c r="Z137" s="30"/>
      <c r="AA137" s="289"/>
      <c r="AB137" s="290"/>
      <c r="AC137" s="291"/>
      <c r="AD137" s="292"/>
      <c r="AE137" s="293"/>
      <c r="AF137" s="293"/>
      <c r="AG137" s="293"/>
      <c r="AH137" s="294"/>
      <c r="AI137" s="255"/>
      <c r="AJ137" s="23"/>
    </row>
    <row r="138" spans="1:36" s="14" customFormat="1" ht="63">
      <c r="A138" s="596"/>
      <c r="B138" s="362" t="s">
        <v>171</v>
      </c>
      <c r="C138" s="437" t="s">
        <v>69</v>
      </c>
      <c r="D138" s="363" t="s">
        <v>47</v>
      </c>
      <c r="E138" s="475">
        <v>0.35</v>
      </c>
      <c r="F138" s="598">
        <v>67000</v>
      </c>
      <c r="G138" s="598" t="s">
        <v>78</v>
      </c>
      <c r="H138" s="598" t="s">
        <v>79</v>
      </c>
      <c r="I138" s="599" t="s">
        <v>66</v>
      </c>
      <c r="J138" s="260" t="s">
        <v>72</v>
      </c>
      <c r="K138" s="367"/>
      <c r="L138" s="367"/>
      <c r="M138" s="263">
        <f>F138-N138</f>
        <v>4681.169999999998</v>
      </c>
      <c r="N138" s="264">
        <f t="shared" si="5"/>
        <v>62318.83</v>
      </c>
      <c r="O138" s="265"/>
      <c r="P138" s="478"/>
      <c r="Q138" s="177"/>
      <c r="R138" s="178">
        <v>62318.83</v>
      </c>
      <c r="S138" s="179"/>
      <c r="T138" s="180"/>
      <c r="U138" s="305"/>
      <c r="V138" s="546"/>
      <c r="W138" s="29"/>
      <c r="Y138" s="29"/>
      <c r="Z138" s="30"/>
      <c r="AA138" s="289"/>
      <c r="AB138" s="290"/>
      <c r="AC138" s="291"/>
      <c r="AD138" s="292"/>
      <c r="AE138" s="293"/>
      <c r="AF138" s="293"/>
      <c r="AG138" s="293"/>
      <c r="AH138" s="294"/>
      <c r="AI138" s="255"/>
      <c r="AJ138" s="23"/>
    </row>
    <row r="139" spans="1:36" s="14" customFormat="1" ht="16.5" thickBot="1">
      <c r="A139" s="596"/>
      <c r="B139" s="362"/>
      <c r="C139" s="374"/>
      <c r="D139" s="363"/>
      <c r="E139" s="475"/>
      <c r="F139" s="598"/>
      <c r="G139" s="598"/>
      <c r="H139" s="598"/>
      <c r="I139" s="598"/>
      <c r="J139" s="598"/>
      <c r="K139" s="367"/>
      <c r="L139" s="367"/>
      <c r="M139" s="263">
        <f>F139-N139</f>
        <v>0</v>
      </c>
      <c r="N139" s="264">
        <f t="shared" si="5"/>
        <v>0</v>
      </c>
      <c r="O139" s="265"/>
      <c r="P139" s="478"/>
      <c r="Q139" s="177"/>
      <c r="R139" s="178"/>
      <c r="S139" s="179"/>
      <c r="T139" s="180"/>
      <c r="U139" s="305"/>
      <c r="V139" s="546"/>
      <c r="W139" s="29"/>
      <c r="Y139" s="29"/>
      <c r="Z139" s="30"/>
      <c r="AA139" s="289"/>
      <c r="AB139" s="290"/>
      <c r="AC139" s="291"/>
      <c r="AD139" s="292"/>
      <c r="AE139" s="293"/>
      <c r="AF139" s="293"/>
      <c r="AG139" s="293"/>
      <c r="AH139" s="294"/>
      <c r="AI139" s="255"/>
      <c r="AJ139" s="23"/>
    </row>
    <row r="140" spans="1:36" s="233" customFormat="1" ht="31.5" customHeight="1" thickBot="1">
      <c r="A140" s="600" t="s">
        <v>172</v>
      </c>
      <c r="B140" s="601" t="s">
        <v>173</v>
      </c>
      <c r="C140" s="602"/>
      <c r="D140" s="603" t="s">
        <v>47</v>
      </c>
      <c r="E140" s="604">
        <f>SUM(E141:E142)</f>
        <v>0</v>
      </c>
      <c r="F140" s="605">
        <f>SUM(F141:F142)</f>
        <v>0</v>
      </c>
      <c r="G140" s="605"/>
      <c r="H140" s="605"/>
      <c r="I140" s="605"/>
      <c r="J140" s="605"/>
      <c r="K140" s="350"/>
      <c r="L140" s="350"/>
      <c r="M140" s="263"/>
      <c r="N140" s="264">
        <f t="shared" si="5"/>
        <v>0</v>
      </c>
      <c r="O140" s="351"/>
      <c r="P140" s="503"/>
      <c r="Q140" s="226"/>
      <c r="R140" s="227"/>
      <c r="S140" s="228"/>
      <c r="T140" s="229"/>
      <c r="U140" s="426"/>
      <c r="V140" s="229"/>
      <c r="W140" s="232"/>
      <c r="Y140" s="232"/>
      <c r="Z140" s="234"/>
      <c r="AA140" s="352">
        <f>F140</f>
        <v>0</v>
      </c>
      <c r="AB140" s="541"/>
      <c r="AC140" s="353"/>
      <c r="AD140" s="354"/>
      <c r="AE140" s="355"/>
      <c r="AF140" s="355"/>
      <c r="AG140" s="355"/>
      <c r="AH140" s="356"/>
      <c r="AI140" s="239" t="str">
        <f>IF(F140=AA140+AB140+AC140+AD140+AH140,"ОК")</f>
        <v>ОК</v>
      </c>
      <c r="AJ140" s="240"/>
    </row>
    <row r="141" spans="1:36" s="14" customFormat="1" ht="23.25" customHeight="1" hidden="1">
      <c r="A141" s="276"/>
      <c r="B141" s="606"/>
      <c r="C141" s="1016"/>
      <c r="D141" s="258"/>
      <c r="E141" s="259"/>
      <c r="F141" s="260"/>
      <c r="G141" s="260"/>
      <c r="H141" s="260"/>
      <c r="I141" s="260"/>
      <c r="J141" s="260"/>
      <c r="K141" s="262"/>
      <c r="L141" s="262"/>
      <c r="M141" s="263">
        <f>F141-N141</f>
        <v>0</v>
      </c>
      <c r="N141" s="264">
        <f t="shared" si="5"/>
        <v>0</v>
      </c>
      <c r="O141" s="270"/>
      <c r="P141" s="478"/>
      <c r="Q141" s="177"/>
      <c r="R141" s="178"/>
      <c r="S141" s="179"/>
      <c r="T141" s="180"/>
      <c r="U141" s="305"/>
      <c r="V141" s="180"/>
      <c r="W141" s="332"/>
      <c r="Y141" s="29"/>
      <c r="Z141" s="30"/>
      <c r="AA141" s="289"/>
      <c r="AB141" s="290"/>
      <c r="AC141" s="291"/>
      <c r="AD141" s="292"/>
      <c r="AE141" s="293"/>
      <c r="AF141" s="293"/>
      <c r="AG141" s="293"/>
      <c r="AH141" s="294"/>
      <c r="AI141" s="255"/>
      <c r="AJ141" s="23"/>
    </row>
    <row r="142" spans="1:36" s="14" customFormat="1" ht="23.25" customHeight="1" hidden="1">
      <c r="A142" s="276"/>
      <c r="B142" s="256"/>
      <c r="C142" s="1016"/>
      <c r="D142" s="258"/>
      <c r="E142" s="259"/>
      <c r="F142" s="260"/>
      <c r="G142" s="260"/>
      <c r="H142" s="260"/>
      <c r="I142" s="260"/>
      <c r="J142" s="260"/>
      <c r="K142" s="262"/>
      <c r="L142" s="262"/>
      <c r="M142" s="263">
        <f>F142-N142</f>
        <v>0</v>
      </c>
      <c r="N142" s="264">
        <f t="shared" si="5"/>
        <v>0</v>
      </c>
      <c r="O142" s="270"/>
      <c r="P142" s="478"/>
      <c r="Q142" s="177"/>
      <c r="R142" s="178"/>
      <c r="S142" s="179"/>
      <c r="T142" s="180"/>
      <c r="U142" s="305"/>
      <c r="V142" s="180"/>
      <c r="W142" s="29"/>
      <c r="Y142" s="29"/>
      <c r="Z142" s="30"/>
      <c r="AA142" s="289"/>
      <c r="AB142" s="290"/>
      <c r="AC142" s="291"/>
      <c r="AD142" s="292"/>
      <c r="AE142" s="293"/>
      <c r="AF142" s="293"/>
      <c r="AG142" s="293"/>
      <c r="AH142" s="294"/>
      <c r="AI142" s="255"/>
      <c r="AJ142" s="23"/>
    </row>
    <row r="143" spans="1:36" s="233" customFormat="1" ht="33" customHeight="1" thickBot="1">
      <c r="A143" s="422" t="s">
        <v>174</v>
      </c>
      <c r="B143" s="345" t="s">
        <v>175</v>
      </c>
      <c r="C143" s="607"/>
      <c r="D143" s="608" t="s">
        <v>47</v>
      </c>
      <c r="E143" s="609">
        <f>SUM(E144:E157)</f>
        <v>8.59</v>
      </c>
      <c r="F143" s="610">
        <f>SUM(F144:F158)</f>
        <v>1375000</v>
      </c>
      <c r="G143" s="610"/>
      <c r="H143" s="610"/>
      <c r="I143" s="610"/>
      <c r="J143" s="610"/>
      <c r="K143" s="611"/>
      <c r="L143" s="611"/>
      <c r="M143" s="263"/>
      <c r="N143" s="264">
        <f t="shared" si="5"/>
        <v>0</v>
      </c>
      <c r="O143" s="351"/>
      <c r="P143" s="503"/>
      <c r="Q143" s="226"/>
      <c r="R143" s="227"/>
      <c r="S143" s="228"/>
      <c r="T143" s="229"/>
      <c r="U143" s="426"/>
      <c r="V143" s="229"/>
      <c r="W143" s="232"/>
      <c r="Y143" s="232"/>
      <c r="Z143" s="234"/>
      <c r="AA143" s="352">
        <f>F145+F146+F150+F152+F154+F156</f>
        <v>1335000</v>
      </c>
      <c r="AB143" s="236">
        <f>F148</f>
        <v>40000</v>
      </c>
      <c r="AC143" s="237"/>
      <c r="AD143" s="354"/>
      <c r="AE143" s="355"/>
      <c r="AF143" s="355"/>
      <c r="AG143" s="355"/>
      <c r="AH143" s="356"/>
      <c r="AI143" s="239" t="str">
        <f>IF(F143=AA143+AB143+AC143+AD143+AH143,"ОК")</f>
        <v>ОК</v>
      </c>
      <c r="AJ143" s="240">
        <f>1403500-270000+254000-372500+360000</f>
        <v>1375000</v>
      </c>
    </row>
    <row r="144" spans="1:36" s="578" customFormat="1" ht="15.75">
      <c r="A144" s="612"/>
      <c r="B144" s="613" t="s">
        <v>176</v>
      </c>
      <c r="C144" s="614"/>
      <c r="D144" s="615"/>
      <c r="E144" s="616"/>
      <c r="F144" s="617"/>
      <c r="G144" s="617"/>
      <c r="H144" s="617"/>
      <c r="I144" s="617"/>
      <c r="J144" s="617"/>
      <c r="K144" s="618"/>
      <c r="L144" s="618"/>
      <c r="M144" s="263"/>
      <c r="N144" s="264"/>
      <c r="O144" s="571"/>
      <c r="P144" s="619"/>
      <c r="Q144" s="572"/>
      <c r="R144" s="573"/>
      <c r="S144" s="574"/>
      <c r="T144" s="575"/>
      <c r="U144" s="576"/>
      <c r="V144" s="575"/>
      <c r="W144" s="579"/>
      <c r="Y144" s="579"/>
      <c r="Z144" s="580"/>
      <c r="AA144" s="581"/>
      <c r="AB144" s="582"/>
      <c r="AC144" s="583"/>
      <c r="AD144" s="584"/>
      <c r="AE144" s="585"/>
      <c r="AF144" s="585"/>
      <c r="AG144" s="585"/>
      <c r="AH144" s="586"/>
      <c r="AI144" s="587"/>
      <c r="AJ144" s="588"/>
    </row>
    <row r="145" spans="1:38" s="453" customFormat="1" ht="30" customHeight="1" hidden="1">
      <c r="A145" s="620"/>
      <c r="B145" s="621"/>
      <c r="C145" s="1017" t="s">
        <v>69</v>
      </c>
      <c r="D145" s="622" t="s">
        <v>47</v>
      </c>
      <c r="E145" s="623"/>
      <c r="F145" s="624"/>
      <c r="G145" s="624"/>
      <c r="H145" s="624"/>
      <c r="I145" s="624"/>
      <c r="J145" s="624"/>
      <c r="K145" s="625"/>
      <c r="L145" s="625"/>
      <c r="M145" s="263">
        <f>F145-N145</f>
        <v>0</v>
      </c>
      <c r="N145" s="264">
        <f t="shared" si="5"/>
        <v>0</v>
      </c>
      <c r="O145" s="445"/>
      <c r="P145" s="626"/>
      <c r="Q145" s="447"/>
      <c r="R145" s="448"/>
      <c r="S145" s="449"/>
      <c r="T145" s="450"/>
      <c r="U145" s="451"/>
      <c r="V145" s="450"/>
      <c r="W145" s="452"/>
      <c r="Y145" s="452"/>
      <c r="Z145" s="454"/>
      <c r="AA145" s="455"/>
      <c r="AB145" s="456"/>
      <c r="AC145" s="457"/>
      <c r="AD145" s="458"/>
      <c r="AE145" s="459"/>
      <c r="AF145" s="459"/>
      <c r="AG145" s="459"/>
      <c r="AH145" s="460"/>
      <c r="AI145" s="461"/>
      <c r="AJ145" s="462"/>
      <c r="AL145" s="453" t="s">
        <v>130</v>
      </c>
    </row>
    <row r="146" spans="1:36" s="14" customFormat="1" ht="59.25" customHeight="1">
      <c r="A146" s="627"/>
      <c r="B146" s="379" t="s">
        <v>156</v>
      </c>
      <c r="C146" s="1018"/>
      <c r="D146" s="628" t="s">
        <v>47</v>
      </c>
      <c r="E146" s="287">
        <v>0.8</v>
      </c>
      <c r="F146" s="268">
        <f>254000+12772.18</f>
        <v>266772.18</v>
      </c>
      <c r="G146" s="268" t="s">
        <v>78</v>
      </c>
      <c r="H146" s="268" t="s">
        <v>79</v>
      </c>
      <c r="I146" s="599" t="s">
        <v>66</v>
      </c>
      <c r="J146" s="260" t="s">
        <v>72</v>
      </c>
      <c r="K146" s="269"/>
      <c r="L146" s="269"/>
      <c r="M146" s="263">
        <f>F146-N146</f>
        <v>0</v>
      </c>
      <c r="N146" s="264">
        <f t="shared" si="5"/>
        <v>266772.18</v>
      </c>
      <c r="O146" s="270"/>
      <c r="P146" s="478"/>
      <c r="Q146" s="177"/>
      <c r="R146" s="227">
        <v>266772.18</v>
      </c>
      <c r="S146" s="179"/>
      <c r="T146" s="180"/>
      <c r="U146" s="305"/>
      <c r="V146" s="295"/>
      <c r="W146" s="27"/>
      <c r="X146" s="298"/>
      <c r="Y146" s="27"/>
      <c r="Z146" s="30"/>
      <c r="AA146" s="289"/>
      <c r="AB146" s="290"/>
      <c r="AC146" s="291"/>
      <c r="AD146" s="292"/>
      <c r="AE146" s="293"/>
      <c r="AF146" s="293"/>
      <c r="AG146" s="293"/>
      <c r="AH146" s="294"/>
      <c r="AI146" s="255"/>
      <c r="AJ146" s="23"/>
    </row>
    <row r="147" spans="1:36" s="578" customFormat="1" ht="18" customHeight="1">
      <c r="A147" s="629"/>
      <c r="B147" s="630" t="s">
        <v>177</v>
      </c>
      <c r="C147" s="631"/>
      <c r="D147" s="632"/>
      <c r="E147" s="633"/>
      <c r="F147" s="634"/>
      <c r="G147" s="634"/>
      <c r="H147" s="634"/>
      <c r="I147" s="634"/>
      <c r="J147" s="634"/>
      <c r="K147" s="635"/>
      <c r="L147" s="635"/>
      <c r="M147" s="263"/>
      <c r="N147" s="264"/>
      <c r="O147" s="571"/>
      <c r="P147" s="619"/>
      <c r="Q147" s="572"/>
      <c r="R147" s="227"/>
      <c r="S147" s="574"/>
      <c r="T147" s="575"/>
      <c r="U147" s="576"/>
      <c r="V147" s="575"/>
      <c r="W147" s="579"/>
      <c r="Y147" s="579"/>
      <c r="Z147" s="580"/>
      <c r="AA147" s="581"/>
      <c r="AB147" s="582"/>
      <c r="AC147" s="583"/>
      <c r="AD147" s="584"/>
      <c r="AE147" s="585"/>
      <c r="AF147" s="585"/>
      <c r="AG147" s="585"/>
      <c r="AH147" s="586"/>
      <c r="AI147" s="587"/>
      <c r="AJ147" s="588"/>
    </row>
    <row r="148" spans="1:36" s="14" customFormat="1" ht="63">
      <c r="A148" s="627"/>
      <c r="B148" s="379" t="s">
        <v>178</v>
      </c>
      <c r="C148" s="636" t="s">
        <v>179</v>
      </c>
      <c r="D148" s="628" t="s">
        <v>47</v>
      </c>
      <c r="E148" s="287">
        <v>0.84</v>
      </c>
      <c r="F148" s="268">
        <v>40000</v>
      </c>
      <c r="G148" s="268"/>
      <c r="H148" s="268"/>
      <c r="I148" s="599" t="s">
        <v>66</v>
      </c>
      <c r="J148" s="268"/>
      <c r="K148" s="269"/>
      <c r="L148" s="269"/>
      <c r="M148" s="263">
        <f>F148-N148</f>
        <v>40000</v>
      </c>
      <c r="N148" s="264">
        <f t="shared" si="5"/>
        <v>0</v>
      </c>
      <c r="O148" s="270"/>
      <c r="P148" s="478"/>
      <c r="Q148" s="177"/>
      <c r="R148" s="227"/>
      <c r="S148" s="179"/>
      <c r="T148" s="180"/>
      <c r="U148" s="305"/>
      <c r="V148" s="180"/>
      <c r="W148" s="29"/>
      <c r="Y148" s="29"/>
      <c r="Z148" s="30"/>
      <c r="AA148" s="289"/>
      <c r="AB148" s="290"/>
      <c r="AC148" s="291"/>
      <c r="AD148" s="292"/>
      <c r="AE148" s="293"/>
      <c r="AF148" s="293"/>
      <c r="AG148" s="293"/>
      <c r="AH148" s="294"/>
      <c r="AI148" s="255"/>
      <c r="AJ148" s="23"/>
    </row>
    <row r="149" spans="1:36" s="578" customFormat="1" ht="15.75">
      <c r="A149" s="637"/>
      <c r="B149" s="241" t="s">
        <v>180</v>
      </c>
      <c r="C149" s="631"/>
      <c r="D149" s="632"/>
      <c r="E149" s="633"/>
      <c r="F149" s="638"/>
      <c r="G149" s="638"/>
      <c r="H149" s="638"/>
      <c r="I149" s="638"/>
      <c r="J149" s="638"/>
      <c r="K149" s="618"/>
      <c r="L149" s="618"/>
      <c r="M149" s="263"/>
      <c r="N149" s="264"/>
      <c r="O149" s="571"/>
      <c r="P149" s="619"/>
      <c r="Q149" s="572"/>
      <c r="R149" s="573"/>
      <c r="S149" s="574"/>
      <c r="T149" s="575"/>
      <c r="U149" s="576"/>
      <c r="V149" s="575"/>
      <c r="W149" s="579"/>
      <c r="Y149" s="579"/>
      <c r="Z149" s="580"/>
      <c r="AA149" s="581"/>
      <c r="AB149" s="582"/>
      <c r="AC149" s="583"/>
      <c r="AD149" s="584"/>
      <c r="AE149" s="585"/>
      <c r="AF149" s="585"/>
      <c r="AG149" s="585"/>
      <c r="AH149" s="586"/>
      <c r="AI149" s="587"/>
      <c r="AJ149" s="588"/>
    </row>
    <row r="150" spans="1:36" s="14" customFormat="1" ht="63">
      <c r="A150" s="276"/>
      <c r="B150" s="256" t="s">
        <v>156</v>
      </c>
      <c r="C150" s="242" t="s">
        <v>181</v>
      </c>
      <c r="D150" s="628" t="s">
        <v>47</v>
      </c>
      <c r="E150" s="287">
        <v>1.7</v>
      </c>
      <c r="F150" s="268">
        <v>100000</v>
      </c>
      <c r="G150" s="639">
        <v>2024</v>
      </c>
      <c r="H150" s="639">
        <v>2024</v>
      </c>
      <c r="I150" s="599" t="s">
        <v>66</v>
      </c>
      <c r="J150" s="268"/>
      <c r="K150" s="269"/>
      <c r="L150" s="269"/>
      <c r="M150" s="263">
        <f>F150-N150</f>
        <v>100000</v>
      </c>
      <c r="N150" s="264">
        <f t="shared" si="5"/>
        <v>0</v>
      </c>
      <c r="O150" s="270"/>
      <c r="P150" s="478"/>
      <c r="Q150" s="177"/>
      <c r="R150" s="178"/>
      <c r="S150" s="179"/>
      <c r="T150" s="180"/>
      <c r="U150" s="305"/>
      <c r="V150" s="180"/>
      <c r="W150" s="29"/>
      <c r="Y150" s="29"/>
      <c r="Z150" s="30"/>
      <c r="AA150" s="289"/>
      <c r="AB150" s="290"/>
      <c r="AC150" s="291"/>
      <c r="AD150" s="292"/>
      <c r="AE150" s="293"/>
      <c r="AF150" s="293"/>
      <c r="AG150" s="293"/>
      <c r="AH150" s="294"/>
      <c r="AI150" s="255"/>
      <c r="AJ150" s="23"/>
    </row>
    <row r="151" spans="1:36" s="578" customFormat="1" ht="15.75">
      <c r="A151" s="637"/>
      <c r="B151" s="241" t="s">
        <v>182</v>
      </c>
      <c r="C151" s="631"/>
      <c r="D151" s="632"/>
      <c r="E151" s="633"/>
      <c r="F151" s="638"/>
      <c r="G151" s="638"/>
      <c r="H151" s="638"/>
      <c r="I151" s="638"/>
      <c r="J151" s="638"/>
      <c r="K151" s="618"/>
      <c r="L151" s="618"/>
      <c r="M151" s="263"/>
      <c r="N151" s="264"/>
      <c r="O151" s="571"/>
      <c r="P151" s="619"/>
      <c r="Q151" s="572"/>
      <c r="R151" s="573"/>
      <c r="S151" s="574"/>
      <c r="T151" s="575"/>
      <c r="U151" s="576"/>
      <c r="V151" s="575"/>
      <c r="W151" s="579"/>
      <c r="Y151" s="579"/>
      <c r="Z151" s="580"/>
      <c r="AA151" s="581"/>
      <c r="AB151" s="582"/>
      <c r="AC151" s="583"/>
      <c r="AD151" s="584"/>
      <c r="AE151" s="585"/>
      <c r="AF151" s="585"/>
      <c r="AG151" s="585"/>
      <c r="AH151" s="586"/>
      <c r="AI151" s="587"/>
      <c r="AJ151" s="588"/>
    </row>
    <row r="152" spans="1:36" s="14" customFormat="1" ht="63">
      <c r="A152" s="276"/>
      <c r="B152" s="256" t="s">
        <v>183</v>
      </c>
      <c r="C152" s="242" t="s">
        <v>69</v>
      </c>
      <c r="D152" s="628" t="s">
        <v>47</v>
      </c>
      <c r="E152" s="287">
        <v>1.8</v>
      </c>
      <c r="F152" s="268">
        <f>243000-12772.18-41286.96</f>
        <v>188940.86000000002</v>
      </c>
      <c r="G152" s="268" t="s">
        <v>78</v>
      </c>
      <c r="H152" s="268" t="s">
        <v>92</v>
      </c>
      <c r="I152" s="599" t="s">
        <v>66</v>
      </c>
      <c r="J152" s="260" t="s">
        <v>72</v>
      </c>
      <c r="K152" s="269"/>
      <c r="L152" s="269"/>
      <c r="M152" s="263">
        <f>F152-N152</f>
        <v>188940.86000000002</v>
      </c>
      <c r="N152" s="264">
        <f t="shared" si="5"/>
        <v>0</v>
      </c>
      <c r="O152" s="270"/>
      <c r="P152" s="478"/>
      <c r="Q152" s="177"/>
      <c r="R152" s="178"/>
      <c r="S152" s="179"/>
      <c r="T152" s="180"/>
      <c r="U152" s="305"/>
      <c r="V152" s="180"/>
      <c r="W152" s="29"/>
      <c r="X152" s="481"/>
      <c r="Y152" s="29"/>
      <c r="Z152" s="30"/>
      <c r="AA152" s="289"/>
      <c r="AB152" s="290"/>
      <c r="AC152" s="291"/>
      <c r="AD152" s="292"/>
      <c r="AE152" s="293"/>
      <c r="AF152" s="293"/>
      <c r="AG152" s="293"/>
      <c r="AH152" s="294"/>
      <c r="AI152" s="255"/>
      <c r="AJ152" s="23"/>
    </row>
    <row r="153" spans="1:36" s="14" customFormat="1" ht="15.75">
      <c r="A153" s="276"/>
      <c r="B153" s="300" t="s">
        <v>184</v>
      </c>
      <c r="C153" s="242"/>
      <c r="D153" s="640"/>
      <c r="E153" s="641"/>
      <c r="F153" s="642"/>
      <c r="G153" s="642"/>
      <c r="H153" s="642"/>
      <c r="I153" s="642"/>
      <c r="J153" s="642"/>
      <c r="K153" s="477"/>
      <c r="L153" s="477"/>
      <c r="M153" s="263"/>
      <c r="N153" s="264"/>
      <c r="O153" s="270"/>
      <c r="P153" s="478"/>
      <c r="Q153" s="177"/>
      <c r="R153" s="76"/>
      <c r="S153" s="179"/>
      <c r="T153" s="180"/>
      <c r="U153" s="305"/>
      <c r="V153" s="180"/>
      <c r="W153" s="29"/>
      <c r="Y153" s="29"/>
      <c r="Z153" s="30"/>
      <c r="AA153" s="289"/>
      <c r="AB153" s="290"/>
      <c r="AC153" s="291"/>
      <c r="AD153" s="292"/>
      <c r="AE153" s="293"/>
      <c r="AF153" s="293"/>
      <c r="AG153" s="293"/>
      <c r="AH153" s="294"/>
      <c r="AI153" s="255"/>
      <c r="AJ153" s="23"/>
    </row>
    <row r="154" spans="1:36" s="14" customFormat="1" ht="63">
      <c r="A154" s="627"/>
      <c r="B154" s="379" t="s">
        <v>183</v>
      </c>
      <c r="C154" s="242" t="s">
        <v>69</v>
      </c>
      <c r="D154" s="628" t="s">
        <v>47</v>
      </c>
      <c r="E154" s="287">
        <v>2.1</v>
      </c>
      <c r="F154" s="268">
        <v>378000</v>
      </c>
      <c r="G154" s="268" t="s">
        <v>78</v>
      </c>
      <c r="H154" s="268" t="s">
        <v>92</v>
      </c>
      <c r="I154" s="599" t="s">
        <v>66</v>
      </c>
      <c r="J154" s="260" t="s">
        <v>72</v>
      </c>
      <c r="K154" s="269"/>
      <c r="L154" s="269"/>
      <c r="M154" s="263">
        <f>F154-N154</f>
        <v>351518.18</v>
      </c>
      <c r="N154" s="264">
        <f t="shared" si="5"/>
        <v>26481.82</v>
      </c>
      <c r="O154" s="270"/>
      <c r="P154" s="478"/>
      <c r="Q154" s="177"/>
      <c r="R154" s="76">
        <v>26481.82</v>
      </c>
      <c r="S154" s="179"/>
      <c r="T154" s="180"/>
      <c r="U154" s="305"/>
      <c r="V154" s="180"/>
      <c r="W154" s="29"/>
      <c r="Y154" s="29"/>
      <c r="Z154" s="30"/>
      <c r="AA154" s="289"/>
      <c r="AB154" s="290"/>
      <c r="AC154" s="291"/>
      <c r="AD154" s="292"/>
      <c r="AE154" s="293"/>
      <c r="AF154" s="293"/>
      <c r="AG154" s="293"/>
      <c r="AH154" s="294"/>
      <c r="AI154" s="255"/>
      <c r="AJ154" s="23"/>
    </row>
    <row r="155" spans="1:36" s="578" customFormat="1" ht="15.75">
      <c r="A155" s="612"/>
      <c r="B155" s="630" t="s">
        <v>185</v>
      </c>
      <c r="C155" s="631"/>
      <c r="D155" s="632"/>
      <c r="E155" s="633"/>
      <c r="F155" s="638"/>
      <c r="G155" s="638"/>
      <c r="H155" s="638"/>
      <c r="I155" s="638"/>
      <c r="J155" s="638"/>
      <c r="K155" s="618"/>
      <c r="L155" s="618"/>
      <c r="M155" s="263"/>
      <c r="N155" s="264"/>
      <c r="O155" s="571"/>
      <c r="P155" s="619"/>
      <c r="Q155" s="572"/>
      <c r="R155" s="76"/>
      <c r="S155" s="574"/>
      <c r="T155" s="575"/>
      <c r="U155" s="576"/>
      <c r="V155" s="575"/>
      <c r="W155" s="579"/>
      <c r="Y155" s="579"/>
      <c r="Z155" s="580"/>
      <c r="AA155" s="581"/>
      <c r="AB155" s="582"/>
      <c r="AC155" s="583"/>
      <c r="AD155" s="584"/>
      <c r="AE155" s="585"/>
      <c r="AF155" s="585"/>
      <c r="AG155" s="585"/>
      <c r="AH155" s="586"/>
      <c r="AI155" s="587"/>
      <c r="AJ155" s="588"/>
    </row>
    <row r="156" spans="1:36" s="14" customFormat="1" ht="63.75" thickBot="1">
      <c r="A156" s="276"/>
      <c r="B156" s="306" t="s">
        <v>186</v>
      </c>
      <c r="C156" s="242" t="s">
        <v>69</v>
      </c>
      <c r="D156" s="628" t="s">
        <v>47</v>
      </c>
      <c r="E156" s="287">
        <v>1.35</v>
      </c>
      <c r="F156" s="268">
        <f>360000+41286.96</f>
        <v>401286.96</v>
      </c>
      <c r="G156" s="268" t="s">
        <v>78</v>
      </c>
      <c r="H156" s="268" t="s">
        <v>79</v>
      </c>
      <c r="I156" s="599" t="s">
        <v>66</v>
      </c>
      <c r="J156" s="260" t="s">
        <v>72</v>
      </c>
      <c r="K156" s="269"/>
      <c r="L156" s="269"/>
      <c r="M156" s="263">
        <f>F156-N156</f>
        <v>0</v>
      </c>
      <c r="N156" s="264">
        <f t="shared" si="5"/>
        <v>401286.96</v>
      </c>
      <c r="O156" s="270"/>
      <c r="P156" s="478"/>
      <c r="Q156" s="177"/>
      <c r="R156" s="76">
        <v>401286.96</v>
      </c>
      <c r="S156" s="179"/>
      <c r="T156" s="180"/>
      <c r="U156" s="305"/>
      <c r="V156" s="180"/>
      <c r="W156" s="29"/>
      <c r="Y156" s="29"/>
      <c r="Z156" s="30"/>
      <c r="AA156" s="289"/>
      <c r="AB156" s="290"/>
      <c r="AC156" s="291"/>
      <c r="AD156" s="292"/>
      <c r="AE156" s="293"/>
      <c r="AF156" s="293"/>
      <c r="AG156" s="293"/>
      <c r="AH156" s="294"/>
      <c r="AI156" s="255"/>
      <c r="AJ156" s="23"/>
    </row>
    <row r="157" spans="1:35" ht="16.5" hidden="1" thickBot="1">
      <c r="A157" s="643"/>
      <c r="B157" s="322"/>
      <c r="C157" s="325"/>
      <c r="D157" s="644"/>
      <c r="E157" s="335"/>
      <c r="F157" s="336"/>
      <c r="G157" s="336"/>
      <c r="H157" s="336"/>
      <c r="I157" s="336"/>
      <c r="J157" s="336"/>
      <c r="K157" s="337"/>
      <c r="L157" s="337"/>
      <c r="M157" s="263">
        <f>F157-N157</f>
        <v>0</v>
      </c>
      <c r="N157" s="264">
        <f t="shared" si="5"/>
        <v>0</v>
      </c>
      <c r="O157" s="270"/>
      <c r="P157" s="478"/>
      <c r="Q157" s="177"/>
      <c r="R157" s="76"/>
      <c r="S157" s="179"/>
      <c r="T157" s="180"/>
      <c r="U157" s="305"/>
      <c r="V157" s="180"/>
      <c r="AA157" s="314"/>
      <c r="AB157" s="315"/>
      <c r="AC157" s="316"/>
      <c r="AD157" s="317"/>
      <c r="AE157" s="318"/>
      <c r="AF157" s="318"/>
      <c r="AG157" s="318"/>
      <c r="AH157" s="319"/>
      <c r="AI157" s="320"/>
    </row>
    <row r="158" spans="1:35" ht="16.5" hidden="1" thickBot="1">
      <c r="A158" s="645"/>
      <c r="B158" s="646"/>
      <c r="C158" s="647"/>
      <c r="D158" s="648"/>
      <c r="E158" s="342"/>
      <c r="F158" s="343"/>
      <c r="G158" s="343"/>
      <c r="H158" s="343"/>
      <c r="I158" s="343"/>
      <c r="J158" s="343"/>
      <c r="K158" s="337"/>
      <c r="L158" s="337"/>
      <c r="M158" s="263">
        <f>F158-N158</f>
        <v>0</v>
      </c>
      <c r="N158" s="264">
        <f t="shared" si="5"/>
        <v>0</v>
      </c>
      <c r="O158" s="270"/>
      <c r="P158" s="478"/>
      <c r="Q158" s="177"/>
      <c r="R158" s="76"/>
      <c r="S158" s="179"/>
      <c r="T158" s="180"/>
      <c r="U158" s="305"/>
      <c r="V158" s="180"/>
      <c r="AA158" s="314"/>
      <c r="AB158" s="315"/>
      <c r="AC158" s="316"/>
      <c r="AD158" s="317"/>
      <c r="AE158" s="318"/>
      <c r="AF158" s="318"/>
      <c r="AG158" s="318"/>
      <c r="AH158" s="319"/>
      <c r="AI158" s="320"/>
    </row>
    <row r="159" spans="1:36" s="233" customFormat="1" ht="32.25" thickBot="1">
      <c r="A159" s="470" t="s">
        <v>187</v>
      </c>
      <c r="B159" s="345" t="s">
        <v>188</v>
      </c>
      <c r="C159" s="607"/>
      <c r="D159" s="608" t="s">
        <v>47</v>
      </c>
      <c r="E159" s="609">
        <f>SUM(E160:E165)</f>
        <v>0</v>
      </c>
      <c r="F159" s="610">
        <f>SUM(F160:F165)</f>
        <v>0</v>
      </c>
      <c r="G159" s="610"/>
      <c r="H159" s="610"/>
      <c r="I159" s="610"/>
      <c r="J159" s="610"/>
      <c r="K159" s="611"/>
      <c r="L159" s="611"/>
      <c r="M159" s="263"/>
      <c r="N159" s="264">
        <f t="shared" si="5"/>
        <v>0</v>
      </c>
      <c r="O159" s="649"/>
      <c r="P159" s="503"/>
      <c r="Q159" s="226"/>
      <c r="R159" s="76"/>
      <c r="S159" s="228"/>
      <c r="T159" s="229"/>
      <c r="U159" s="426"/>
      <c r="V159" s="229"/>
      <c r="W159" s="232"/>
      <c r="X159" s="650"/>
      <c r="Y159" s="232"/>
      <c r="Z159" s="234"/>
      <c r="AA159" s="352">
        <f>F159</f>
        <v>0</v>
      </c>
      <c r="AB159" s="541"/>
      <c r="AC159" s="353"/>
      <c r="AD159" s="354"/>
      <c r="AE159" s="355"/>
      <c r="AF159" s="355"/>
      <c r="AG159" s="355"/>
      <c r="AH159" s="356"/>
      <c r="AI159" s="239" t="str">
        <f>IF(F159=AA159+AB159+AC159+AD159+AH159,"ОК")</f>
        <v>ОК</v>
      </c>
      <c r="AJ159" s="240"/>
    </row>
    <row r="160" spans="1:36" s="14" customFormat="1" ht="16.5" hidden="1" thickBot="1">
      <c r="A160" s="473"/>
      <c r="B160" s="651"/>
      <c r="C160" s="1000"/>
      <c r="D160" s="652"/>
      <c r="E160" s="653"/>
      <c r="F160" s="375"/>
      <c r="G160" s="375"/>
      <c r="H160" s="375"/>
      <c r="I160" s="375"/>
      <c r="J160" s="375"/>
      <c r="K160" s="269"/>
      <c r="L160" s="269"/>
      <c r="M160" s="263">
        <f aca="true" t="shared" si="7" ref="M160:M165">F160-N160</f>
        <v>0</v>
      </c>
      <c r="N160" s="264">
        <f t="shared" si="5"/>
        <v>0</v>
      </c>
      <c r="O160" s="654"/>
      <c r="P160" s="478"/>
      <c r="Q160" s="177"/>
      <c r="R160" s="178"/>
      <c r="S160" s="179"/>
      <c r="T160" s="180"/>
      <c r="U160" s="305"/>
      <c r="V160" s="180"/>
      <c r="W160" s="29"/>
      <c r="X160" s="655"/>
      <c r="Y160" s="29"/>
      <c r="Z160" s="30"/>
      <c r="AA160" s="289"/>
      <c r="AB160" s="290"/>
      <c r="AC160" s="291"/>
      <c r="AD160" s="292"/>
      <c r="AE160" s="293"/>
      <c r="AF160" s="293"/>
      <c r="AG160" s="293"/>
      <c r="AH160" s="294"/>
      <c r="AI160" s="255"/>
      <c r="AJ160" s="23"/>
    </row>
    <row r="161" spans="1:36" s="14" customFormat="1" ht="16.5" hidden="1" thickBot="1">
      <c r="A161" s="485"/>
      <c r="B161" s="606"/>
      <c r="C161" s="1001"/>
      <c r="D161" s="628"/>
      <c r="E161" s="287"/>
      <c r="F161" s="268"/>
      <c r="G161" s="268"/>
      <c r="H161" s="268"/>
      <c r="I161" s="268"/>
      <c r="J161" s="268"/>
      <c r="K161" s="269"/>
      <c r="L161" s="269"/>
      <c r="M161" s="263">
        <f t="shared" si="7"/>
        <v>0</v>
      </c>
      <c r="N161" s="264">
        <f t="shared" si="5"/>
        <v>0</v>
      </c>
      <c r="O161" s="654"/>
      <c r="P161" s="478"/>
      <c r="Q161" s="177"/>
      <c r="R161" s="178"/>
      <c r="S161" s="179"/>
      <c r="T161" s="180"/>
      <c r="U161" s="305"/>
      <c r="V161" s="180"/>
      <c r="W161" s="29"/>
      <c r="X161" s="655"/>
      <c r="Y161" s="29"/>
      <c r="Z161" s="30"/>
      <c r="AA161" s="289"/>
      <c r="AB161" s="290"/>
      <c r="AC161" s="291"/>
      <c r="AD161" s="292"/>
      <c r="AE161" s="293"/>
      <c r="AF161" s="293"/>
      <c r="AG161" s="293"/>
      <c r="AH161" s="294"/>
      <c r="AI161" s="255"/>
      <c r="AJ161" s="23"/>
    </row>
    <row r="162" spans="1:36" s="14" customFormat="1" ht="16.5" hidden="1" thickBot="1">
      <c r="A162" s="490"/>
      <c r="B162" s="333"/>
      <c r="C162" s="1001"/>
      <c r="D162" s="644"/>
      <c r="E162" s="335"/>
      <c r="F162" s="336"/>
      <c r="G162" s="336"/>
      <c r="H162" s="336"/>
      <c r="I162" s="336"/>
      <c r="J162" s="336"/>
      <c r="K162" s="337"/>
      <c r="L162" s="337"/>
      <c r="M162" s="263">
        <f t="shared" si="7"/>
        <v>0</v>
      </c>
      <c r="N162" s="264">
        <f t="shared" si="5"/>
        <v>0</v>
      </c>
      <c r="O162" s="654"/>
      <c r="P162" s="478"/>
      <c r="Q162" s="177"/>
      <c r="R162" s="178"/>
      <c r="S162" s="179"/>
      <c r="T162" s="180"/>
      <c r="U162" s="305"/>
      <c r="V162" s="180"/>
      <c r="W162" s="29"/>
      <c r="X162" s="655"/>
      <c r="Y162" s="29"/>
      <c r="Z162" s="30"/>
      <c r="AA162" s="289"/>
      <c r="AB162" s="290"/>
      <c r="AC162" s="291"/>
      <c r="AD162" s="292"/>
      <c r="AE162" s="293"/>
      <c r="AF162" s="293"/>
      <c r="AG162" s="293"/>
      <c r="AH162" s="294"/>
      <c r="AI162" s="255"/>
      <c r="AJ162" s="23"/>
    </row>
    <row r="163" spans="1:36" s="14" customFormat="1" ht="16.5" hidden="1" thickBot="1">
      <c r="A163" s="490"/>
      <c r="B163" s="333"/>
      <c r="C163" s="1001"/>
      <c r="D163" s="644"/>
      <c r="E163" s="335"/>
      <c r="F163" s="336"/>
      <c r="G163" s="336"/>
      <c r="H163" s="336"/>
      <c r="I163" s="336"/>
      <c r="J163" s="336"/>
      <c r="K163" s="337"/>
      <c r="L163" s="337"/>
      <c r="M163" s="263">
        <f t="shared" si="7"/>
        <v>0</v>
      </c>
      <c r="N163" s="264">
        <f aca="true" t="shared" si="8" ref="N163:N170">SUM(O163:Z163)</f>
        <v>0</v>
      </c>
      <c r="O163" s="654"/>
      <c r="P163" s="478"/>
      <c r="Q163" s="177"/>
      <c r="R163" s="178"/>
      <c r="S163" s="179"/>
      <c r="T163" s="180"/>
      <c r="U163" s="305"/>
      <c r="V163" s="180"/>
      <c r="W163" s="29"/>
      <c r="X163" s="655"/>
      <c r="Y163" s="29"/>
      <c r="Z163" s="30"/>
      <c r="AA163" s="289"/>
      <c r="AB163" s="290"/>
      <c r="AC163" s="291"/>
      <c r="AD163" s="292"/>
      <c r="AE163" s="293"/>
      <c r="AF163" s="293"/>
      <c r="AG163" s="293"/>
      <c r="AH163" s="294"/>
      <c r="AI163" s="255"/>
      <c r="AJ163" s="23"/>
    </row>
    <row r="164" spans="1:36" s="14" customFormat="1" ht="16.5" hidden="1" thickBot="1">
      <c r="A164" s="490"/>
      <c r="B164" s="656"/>
      <c r="C164" s="1001"/>
      <c r="D164" s="644"/>
      <c r="E164" s="335"/>
      <c r="F164" s="336"/>
      <c r="G164" s="336"/>
      <c r="H164" s="336"/>
      <c r="I164" s="336"/>
      <c r="J164" s="336"/>
      <c r="K164" s="337"/>
      <c r="L164" s="337"/>
      <c r="M164" s="263">
        <f t="shared" si="7"/>
        <v>0</v>
      </c>
      <c r="N164" s="264">
        <f t="shared" si="8"/>
        <v>0</v>
      </c>
      <c r="O164" s="654"/>
      <c r="P164" s="478"/>
      <c r="Q164" s="177"/>
      <c r="R164" s="178"/>
      <c r="S164" s="179"/>
      <c r="T164" s="180"/>
      <c r="U164" s="305"/>
      <c r="V164" s="180"/>
      <c r="W164" s="29"/>
      <c r="X164" s="655"/>
      <c r="Y164" s="29"/>
      <c r="Z164" s="30"/>
      <c r="AA164" s="289"/>
      <c r="AB164" s="290"/>
      <c r="AC164" s="291"/>
      <c r="AD164" s="292"/>
      <c r="AE164" s="293"/>
      <c r="AF164" s="293"/>
      <c r="AG164" s="293"/>
      <c r="AH164" s="294"/>
      <c r="AI164" s="255"/>
      <c r="AJ164" s="23"/>
    </row>
    <row r="165" spans="1:36" s="14" customFormat="1" ht="16.5" hidden="1" thickBot="1">
      <c r="A165" s="493"/>
      <c r="B165" s="657"/>
      <c r="C165" s="1002"/>
      <c r="D165" s="648"/>
      <c r="E165" s="342"/>
      <c r="F165" s="343"/>
      <c r="G165" s="343"/>
      <c r="H165" s="343"/>
      <c r="I165" s="343"/>
      <c r="J165" s="343"/>
      <c r="K165" s="337"/>
      <c r="L165" s="337"/>
      <c r="M165" s="263">
        <f t="shared" si="7"/>
        <v>0</v>
      </c>
      <c r="N165" s="264">
        <f t="shared" si="8"/>
        <v>0</v>
      </c>
      <c r="O165" s="654"/>
      <c r="P165" s="478"/>
      <c r="Q165" s="177"/>
      <c r="R165" s="178"/>
      <c r="S165" s="179"/>
      <c r="T165" s="180"/>
      <c r="U165" s="305"/>
      <c r="V165" s="180"/>
      <c r="W165" s="29"/>
      <c r="X165" s="655"/>
      <c r="Y165" s="29"/>
      <c r="Z165" s="30"/>
      <c r="AA165" s="289"/>
      <c r="AB165" s="290"/>
      <c r="AC165" s="291"/>
      <c r="AD165" s="292"/>
      <c r="AE165" s="293"/>
      <c r="AF165" s="293"/>
      <c r="AG165" s="293"/>
      <c r="AH165" s="294"/>
      <c r="AI165" s="255"/>
      <c r="AJ165" s="23"/>
    </row>
    <row r="166" spans="1:36" s="233" customFormat="1" ht="33" customHeight="1" thickBot="1">
      <c r="A166" s="470" t="s">
        <v>189</v>
      </c>
      <c r="B166" s="345" t="s">
        <v>190</v>
      </c>
      <c r="C166" s="346"/>
      <c r="D166" s="347" t="s">
        <v>47</v>
      </c>
      <c r="E166" s="348">
        <f>SUM(E167:E175)</f>
        <v>2.94</v>
      </c>
      <c r="F166" s="349">
        <f>SUM(F168:F176)</f>
        <v>531773.52</v>
      </c>
      <c r="G166" s="349"/>
      <c r="H166" s="349"/>
      <c r="I166" s="349"/>
      <c r="J166" s="349"/>
      <c r="K166" s="350"/>
      <c r="L166" s="350"/>
      <c r="M166" s="263"/>
      <c r="N166" s="264">
        <f t="shared" si="8"/>
        <v>0</v>
      </c>
      <c r="O166" s="351"/>
      <c r="P166" s="503"/>
      <c r="Q166" s="226"/>
      <c r="R166" s="227"/>
      <c r="S166" s="228"/>
      <c r="T166" s="229"/>
      <c r="U166" s="426"/>
      <c r="V166" s="229"/>
      <c r="W166" s="232"/>
      <c r="Y166" s="232"/>
      <c r="Z166" s="234"/>
      <c r="AA166" s="352">
        <f>F168+F169+F170+F171+F172+F173+F174+F175</f>
        <v>531773.52</v>
      </c>
      <c r="AB166" s="236">
        <f>+F176</f>
        <v>0</v>
      </c>
      <c r="AC166" s="353"/>
      <c r="AD166" s="354"/>
      <c r="AE166" s="355"/>
      <c r="AF166" s="355"/>
      <c r="AG166" s="355"/>
      <c r="AH166" s="356"/>
      <c r="AI166" s="239" t="str">
        <f>IF(F166=AA166+AB166+AC166+AD166+AH166,"ОК")</f>
        <v>ОК</v>
      </c>
      <c r="AJ166" s="240"/>
    </row>
    <row r="167" spans="1:36" s="14" customFormat="1" ht="15.75">
      <c r="A167" s="658"/>
      <c r="B167" s="357" t="s">
        <v>191</v>
      </c>
      <c r="C167" s="374"/>
      <c r="D167" s="359"/>
      <c r="E167" s="360"/>
      <c r="F167" s="659"/>
      <c r="G167" s="659"/>
      <c r="H167" s="659"/>
      <c r="I167" s="659"/>
      <c r="J167" s="659"/>
      <c r="K167" s="660"/>
      <c r="L167" s="660"/>
      <c r="M167" s="263"/>
      <c r="N167" s="264"/>
      <c r="O167" s="270"/>
      <c r="P167" s="478"/>
      <c r="Q167" s="177"/>
      <c r="R167" s="178"/>
      <c r="S167" s="179"/>
      <c r="T167" s="180"/>
      <c r="U167" s="305"/>
      <c r="V167" s="180"/>
      <c r="W167" s="29"/>
      <c r="Y167" s="29"/>
      <c r="Z167" s="30"/>
      <c r="AA167" s="289"/>
      <c r="AB167" s="290"/>
      <c r="AC167" s="291"/>
      <c r="AD167" s="292"/>
      <c r="AE167" s="293"/>
      <c r="AF167" s="293"/>
      <c r="AG167" s="293"/>
      <c r="AH167" s="294"/>
      <c r="AI167" s="255"/>
      <c r="AJ167" s="23"/>
    </row>
    <row r="168" spans="1:36" s="14" customFormat="1" ht="75">
      <c r="A168" s="299" t="s">
        <v>192</v>
      </c>
      <c r="B168" s="428" t="s">
        <v>193</v>
      </c>
      <c r="C168" s="661" t="s">
        <v>194</v>
      </c>
      <c r="D168" s="370" t="s">
        <v>47</v>
      </c>
      <c r="E168" s="662">
        <v>0.7</v>
      </c>
      <c r="F168" s="430">
        <v>188773.52</v>
      </c>
      <c r="G168" s="430" t="s">
        <v>71</v>
      </c>
      <c r="H168" s="430" t="s">
        <v>100</v>
      </c>
      <c r="I168" s="599" t="s">
        <v>66</v>
      </c>
      <c r="J168" s="430"/>
      <c r="K168" s="304"/>
      <c r="L168" s="304"/>
      <c r="M168" s="263">
        <f>F168-N168</f>
        <v>188773.52</v>
      </c>
      <c r="N168" s="264">
        <f t="shared" si="8"/>
        <v>0</v>
      </c>
      <c r="O168" s="270"/>
      <c r="P168" s="663"/>
      <c r="Q168" s="177"/>
      <c r="R168" s="178"/>
      <c r="S168" s="179"/>
      <c r="T168" s="180"/>
      <c r="U168" s="305"/>
      <c r="V168" s="180"/>
      <c r="W168" s="332"/>
      <c r="Y168" s="29"/>
      <c r="Z168" s="266"/>
      <c r="AA168" s="289"/>
      <c r="AB168" s="290"/>
      <c r="AC168" s="291"/>
      <c r="AD168" s="292"/>
      <c r="AE168" s="293"/>
      <c r="AF168" s="293"/>
      <c r="AG168" s="293"/>
      <c r="AH168" s="294"/>
      <c r="AI168" s="664"/>
      <c r="AJ168" s="23"/>
    </row>
    <row r="169" spans="1:36" s="578" customFormat="1" ht="15.75">
      <c r="A169" s="665"/>
      <c r="B169" s="241" t="s">
        <v>195</v>
      </c>
      <c r="C169" s="631"/>
      <c r="D169" s="564"/>
      <c r="E169" s="666"/>
      <c r="F169" s="638"/>
      <c r="G169" s="638"/>
      <c r="H169" s="638"/>
      <c r="I169" s="638"/>
      <c r="J169" s="638"/>
      <c r="K169" s="618"/>
      <c r="L169" s="618"/>
      <c r="M169" s="263"/>
      <c r="N169" s="264"/>
      <c r="O169" s="571"/>
      <c r="P169" s="619"/>
      <c r="Q169" s="572"/>
      <c r="R169" s="573"/>
      <c r="S169" s="574"/>
      <c r="T169" s="575"/>
      <c r="U169" s="576"/>
      <c r="V169" s="575"/>
      <c r="W169" s="579"/>
      <c r="Y169" s="579"/>
      <c r="Z169" s="580"/>
      <c r="AA169" s="581"/>
      <c r="AB169" s="582"/>
      <c r="AC169" s="583"/>
      <c r="AD169" s="584"/>
      <c r="AE169" s="585"/>
      <c r="AF169" s="585"/>
      <c r="AG169" s="585"/>
      <c r="AH169" s="586"/>
      <c r="AI169" s="587"/>
      <c r="AJ169" s="588"/>
    </row>
    <row r="170" spans="1:36" s="14" customFormat="1" ht="90">
      <c r="A170" s="485"/>
      <c r="B170" s="306" t="s">
        <v>156</v>
      </c>
      <c r="C170" s="667" t="s">
        <v>196</v>
      </c>
      <c r="D170" s="301" t="s">
        <v>47</v>
      </c>
      <c r="E170" s="668">
        <v>1.22</v>
      </c>
      <c r="F170" s="303">
        <v>100000</v>
      </c>
      <c r="G170" s="430" t="s">
        <v>71</v>
      </c>
      <c r="H170" s="430" t="s">
        <v>100</v>
      </c>
      <c r="I170" s="599" t="s">
        <v>66</v>
      </c>
      <c r="J170" s="303"/>
      <c r="K170" s="304"/>
      <c r="L170" s="304"/>
      <c r="M170" s="263">
        <f>F170-N170</f>
        <v>100000</v>
      </c>
      <c r="N170" s="264">
        <f t="shared" si="8"/>
        <v>0</v>
      </c>
      <c r="O170" s="270"/>
      <c r="P170" s="478"/>
      <c r="Q170" s="177"/>
      <c r="R170" s="178"/>
      <c r="S170" s="179"/>
      <c r="T170" s="180"/>
      <c r="U170" s="305"/>
      <c r="V170" s="180"/>
      <c r="W170" s="29"/>
      <c r="Y170" s="29"/>
      <c r="Z170" s="30"/>
      <c r="AA170" s="289"/>
      <c r="AB170" s="290"/>
      <c r="AC170" s="291"/>
      <c r="AD170" s="292"/>
      <c r="AE170" s="293"/>
      <c r="AF170" s="293"/>
      <c r="AG170" s="293"/>
      <c r="AH170" s="294"/>
      <c r="AI170" s="255"/>
      <c r="AJ170" s="23"/>
    </row>
    <row r="171" spans="1:112" s="676" customFormat="1" ht="15.75">
      <c r="A171" s="665"/>
      <c r="B171" s="300" t="s">
        <v>197</v>
      </c>
      <c r="C171" s="669"/>
      <c r="D171" s="670"/>
      <c r="E171" s="671"/>
      <c r="F171" s="672"/>
      <c r="G171" s="672"/>
      <c r="H171" s="672"/>
      <c r="I171" s="672"/>
      <c r="J171" s="672"/>
      <c r="K171" s="673"/>
      <c r="L171" s="673"/>
      <c r="M171" s="263"/>
      <c r="N171" s="264"/>
      <c r="O171" s="571"/>
      <c r="P171" s="619"/>
      <c r="Q171" s="572"/>
      <c r="R171" s="573"/>
      <c r="S171" s="574"/>
      <c r="T171" s="575"/>
      <c r="U171" s="576"/>
      <c r="V171" s="575"/>
      <c r="W171" s="579"/>
      <c r="X171" s="578"/>
      <c r="Y171" s="579"/>
      <c r="Z171" s="580"/>
      <c r="AA171" s="581"/>
      <c r="AB171" s="582"/>
      <c r="AC171" s="583"/>
      <c r="AD171" s="584"/>
      <c r="AE171" s="585"/>
      <c r="AF171" s="585"/>
      <c r="AG171" s="585"/>
      <c r="AH171" s="586"/>
      <c r="AI171" s="587"/>
      <c r="AJ171" s="674"/>
      <c r="AK171" s="675"/>
      <c r="AL171" s="675"/>
      <c r="AM171" s="675"/>
      <c r="AN171" s="675"/>
      <c r="AO171" s="675"/>
      <c r="AP171" s="675"/>
      <c r="AQ171" s="675"/>
      <c r="AR171" s="675"/>
      <c r="AS171" s="675"/>
      <c r="AT171" s="675"/>
      <c r="AU171" s="675"/>
      <c r="AV171" s="675"/>
      <c r="AW171" s="675"/>
      <c r="AX171" s="675"/>
      <c r="AY171" s="675"/>
      <c r="AZ171" s="675"/>
      <c r="BA171" s="675"/>
      <c r="BB171" s="675"/>
      <c r="BC171" s="675"/>
      <c r="BD171" s="675"/>
      <c r="BE171" s="675"/>
      <c r="BF171" s="675"/>
      <c r="BG171" s="675"/>
      <c r="BH171" s="675"/>
      <c r="BI171" s="675"/>
      <c r="BJ171" s="675"/>
      <c r="BK171" s="675"/>
      <c r="BL171" s="675"/>
      <c r="BM171" s="675"/>
      <c r="BN171" s="675"/>
      <c r="BO171" s="675"/>
      <c r="BP171" s="675"/>
      <c r="BQ171" s="675"/>
      <c r="BR171" s="675"/>
      <c r="BS171" s="675"/>
      <c r="BT171" s="675"/>
      <c r="BU171" s="675"/>
      <c r="BV171" s="675"/>
      <c r="BW171" s="675"/>
      <c r="BX171" s="675"/>
      <c r="BY171" s="675"/>
      <c r="BZ171" s="675"/>
      <c r="CA171" s="675"/>
      <c r="CB171" s="675"/>
      <c r="CC171" s="675"/>
      <c r="CD171" s="675"/>
      <c r="CE171" s="675"/>
      <c r="CF171" s="675"/>
      <c r="CG171" s="675"/>
      <c r="CH171" s="675"/>
      <c r="CI171" s="675"/>
      <c r="CJ171" s="675"/>
      <c r="CK171" s="675"/>
      <c r="CL171" s="675"/>
      <c r="CM171" s="675"/>
      <c r="CN171" s="675"/>
      <c r="CO171" s="675"/>
      <c r="CP171" s="675"/>
      <c r="CQ171" s="675"/>
      <c r="CR171" s="675"/>
      <c r="CS171" s="675"/>
      <c r="CT171" s="675"/>
      <c r="CU171" s="675"/>
      <c r="CV171" s="675"/>
      <c r="CW171" s="675"/>
      <c r="CX171" s="675"/>
      <c r="CY171" s="675"/>
      <c r="CZ171" s="675"/>
      <c r="DA171" s="675"/>
      <c r="DB171" s="675"/>
      <c r="DC171" s="675"/>
      <c r="DD171" s="675"/>
      <c r="DE171" s="675"/>
      <c r="DF171" s="675"/>
      <c r="DG171" s="675"/>
      <c r="DH171" s="675"/>
    </row>
    <row r="172" spans="1:112" s="679" customFormat="1" ht="63">
      <c r="A172" s="485"/>
      <c r="B172" s="256" t="s">
        <v>198</v>
      </c>
      <c r="C172" s="486" t="s">
        <v>199</v>
      </c>
      <c r="D172" s="258" t="s">
        <v>47</v>
      </c>
      <c r="E172" s="282">
        <v>0.2</v>
      </c>
      <c r="F172" s="268">
        <v>38000</v>
      </c>
      <c r="G172" s="268" t="s">
        <v>79</v>
      </c>
      <c r="H172" s="268" t="s">
        <v>92</v>
      </c>
      <c r="I172" s="599" t="s">
        <v>66</v>
      </c>
      <c r="J172" s="260" t="s">
        <v>72</v>
      </c>
      <c r="K172" s="269"/>
      <c r="L172" s="269"/>
      <c r="M172" s="263">
        <f>F172-N172</f>
        <v>38000</v>
      </c>
      <c r="N172" s="264">
        <f aca="true" t="shared" si="9" ref="N172:N239">SUM(O172:Z172)</f>
        <v>0</v>
      </c>
      <c r="O172" s="270"/>
      <c r="P172" s="478"/>
      <c r="Q172" s="177"/>
      <c r="R172" s="178"/>
      <c r="S172" s="179"/>
      <c r="T172" s="180"/>
      <c r="U172" s="305"/>
      <c r="V172" s="180"/>
      <c r="W172" s="332"/>
      <c r="X172" s="14"/>
      <c r="Y172" s="29"/>
      <c r="Z172" s="30"/>
      <c r="AA172" s="289"/>
      <c r="AB172" s="290"/>
      <c r="AC172" s="291"/>
      <c r="AD172" s="292"/>
      <c r="AE172" s="293"/>
      <c r="AF172" s="293"/>
      <c r="AG172" s="293"/>
      <c r="AH172" s="294"/>
      <c r="AI172" s="255"/>
      <c r="AJ172" s="677"/>
      <c r="AK172" s="678"/>
      <c r="AL172" s="678"/>
      <c r="AM172" s="678"/>
      <c r="AN172" s="678"/>
      <c r="AO172" s="678"/>
      <c r="AP172" s="678"/>
      <c r="AQ172" s="678"/>
      <c r="AR172" s="678"/>
      <c r="AS172" s="678"/>
      <c r="AT172" s="678"/>
      <c r="AU172" s="678"/>
      <c r="AV172" s="678"/>
      <c r="AW172" s="678"/>
      <c r="AX172" s="678"/>
      <c r="AY172" s="678"/>
      <c r="AZ172" s="678"/>
      <c r="BA172" s="678"/>
      <c r="BB172" s="678"/>
      <c r="BC172" s="678"/>
      <c r="BD172" s="678"/>
      <c r="BE172" s="678"/>
      <c r="BF172" s="678"/>
      <c r="BG172" s="678"/>
      <c r="BH172" s="678"/>
      <c r="BI172" s="678"/>
      <c r="BJ172" s="678"/>
      <c r="BK172" s="678"/>
      <c r="BL172" s="678"/>
      <c r="BM172" s="678"/>
      <c r="BN172" s="678"/>
      <c r="BO172" s="678"/>
      <c r="BP172" s="678"/>
      <c r="BQ172" s="678"/>
      <c r="BR172" s="678"/>
      <c r="BS172" s="678"/>
      <c r="BT172" s="678"/>
      <c r="BU172" s="678"/>
      <c r="BV172" s="678"/>
      <c r="BW172" s="678"/>
      <c r="BX172" s="678"/>
      <c r="BY172" s="678"/>
      <c r="BZ172" s="678"/>
      <c r="CA172" s="678"/>
      <c r="CB172" s="678"/>
      <c r="CC172" s="678"/>
      <c r="CD172" s="678"/>
      <c r="CE172" s="678"/>
      <c r="CF172" s="678"/>
      <c r="CG172" s="678"/>
      <c r="CH172" s="678"/>
      <c r="CI172" s="678"/>
      <c r="CJ172" s="678"/>
      <c r="CK172" s="678"/>
      <c r="CL172" s="678"/>
      <c r="CM172" s="678"/>
      <c r="CN172" s="678"/>
      <c r="CO172" s="678"/>
      <c r="CP172" s="678"/>
      <c r="CQ172" s="678"/>
      <c r="CR172" s="678"/>
      <c r="CS172" s="678"/>
      <c r="CT172" s="678"/>
      <c r="CU172" s="678"/>
      <c r="CV172" s="678"/>
      <c r="CW172" s="678"/>
      <c r="CX172" s="678"/>
      <c r="CY172" s="678"/>
      <c r="CZ172" s="678"/>
      <c r="DA172" s="678"/>
      <c r="DB172" s="678"/>
      <c r="DC172" s="678"/>
      <c r="DD172" s="678"/>
      <c r="DE172" s="678"/>
      <c r="DF172" s="678"/>
      <c r="DG172" s="678"/>
      <c r="DH172" s="678"/>
    </row>
    <row r="173" spans="1:112" s="679" customFormat="1" ht="63.75" thickBot="1">
      <c r="A173" s="485"/>
      <c r="B173" s="606" t="s">
        <v>200</v>
      </c>
      <c r="C173" s="486" t="s">
        <v>69</v>
      </c>
      <c r="D173" s="258" t="s">
        <v>47</v>
      </c>
      <c r="E173" s="282">
        <v>0.82</v>
      </c>
      <c r="F173" s="268">
        <f>205000</f>
        <v>205000</v>
      </c>
      <c r="G173" s="268" t="s">
        <v>78</v>
      </c>
      <c r="H173" s="268" t="s">
        <v>79</v>
      </c>
      <c r="I173" s="599" t="s">
        <v>66</v>
      </c>
      <c r="J173" s="260" t="s">
        <v>72</v>
      </c>
      <c r="K173" s="269"/>
      <c r="L173" s="269"/>
      <c r="M173" s="263">
        <f>F173-N173</f>
        <v>192650.18</v>
      </c>
      <c r="N173" s="264">
        <f t="shared" si="9"/>
        <v>12349.82</v>
      </c>
      <c r="O173" s="270"/>
      <c r="P173" s="478"/>
      <c r="Q173" s="177"/>
      <c r="R173" s="178">
        <v>12349.82</v>
      </c>
      <c r="S173" s="179"/>
      <c r="T173" s="180"/>
      <c r="U173" s="305"/>
      <c r="V173" s="180"/>
      <c r="W173" s="680"/>
      <c r="X173" s="14"/>
      <c r="Y173" s="29"/>
      <c r="Z173" s="30"/>
      <c r="AA173" s="289"/>
      <c r="AB173" s="290"/>
      <c r="AC173" s="291"/>
      <c r="AD173" s="292"/>
      <c r="AE173" s="293"/>
      <c r="AF173" s="293"/>
      <c r="AG173" s="293"/>
      <c r="AH173" s="294"/>
      <c r="AI173" s="255"/>
      <c r="AJ173" s="677"/>
      <c r="AK173" s="678"/>
      <c r="AL173" s="678"/>
      <c r="AM173" s="678"/>
      <c r="AN173" s="678"/>
      <c r="AO173" s="678"/>
      <c r="AP173" s="678"/>
      <c r="AQ173" s="678"/>
      <c r="AR173" s="678"/>
      <c r="AS173" s="678"/>
      <c r="AT173" s="678"/>
      <c r="AU173" s="678"/>
      <c r="AV173" s="678"/>
      <c r="AW173" s="678"/>
      <c r="AX173" s="678"/>
      <c r="AY173" s="678"/>
      <c r="AZ173" s="678"/>
      <c r="BA173" s="678"/>
      <c r="BB173" s="678"/>
      <c r="BC173" s="678"/>
      <c r="BD173" s="678"/>
      <c r="BE173" s="678"/>
      <c r="BF173" s="678"/>
      <c r="BG173" s="678"/>
      <c r="BH173" s="678"/>
      <c r="BI173" s="678"/>
      <c r="BJ173" s="678"/>
      <c r="BK173" s="678"/>
      <c r="BL173" s="678"/>
      <c r="BM173" s="678"/>
      <c r="BN173" s="678"/>
      <c r="BO173" s="678"/>
      <c r="BP173" s="678"/>
      <c r="BQ173" s="678"/>
      <c r="BR173" s="678"/>
      <c r="BS173" s="678"/>
      <c r="BT173" s="678"/>
      <c r="BU173" s="678"/>
      <c r="BV173" s="678"/>
      <c r="BW173" s="678"/>
      <c r="BX173" s="678"/>
      <c r="BY173" s="678"/>
      <c r="BZ173" s="678"/>
      <c r="CA173" s="678"/>
      <c r="CB173" s="678"/>
      <c r="CC173" s="678"/>
      <c r="CD173" s="678"/>
      <c r="CE173" s="678"/>
      <c r="CF173" s="678"/>
      <c r="CG173" s="678"/>
      <c r="CH173" s="678"/>
      <c r="CI173" s="678"/>
      <c r="CJ173" s="678"/>
      <c r="CK173" s="678"/>
      <c r="CL173" s="678"/>
      <c r="CM173" s="678"/>
      <c r="CN173" s="678"/>
      <c r="CO173" s="678"/>
      <c r="CP173" s="678"/>
      <c r="CQ173" s="678"/>
      <c r="CR173" s="678"/>
      <c r="CS173" s="678"/>
      <c r="CT173" s="678"/>
      <c r="CU173" s="678"/>
      <c r="CV173" s="678"/>
      <c r="CW173" s="678"/>
      <c r="CX173" s="678"/>
      <c r="CY173" s="678"/>
      <c r="CZ173" s="678"/>
      <c r="DA173" s="678"/>
      <c r="DB173" s="678"/>
      <c r="DC173" s="678"/>
      <c r="DD173" s="678"/>
      <c r="DE173" s="678"/>
      <c r="DF173" s="678"/>
      <c r="DG173" s="678"/>
      <c r="DH173" s="678"/>
    </row>
    <row r="174" spans="1:112" s="685" customFormat="1" ht="16.5" hidden="1" thickBot="1">
      <c r="A174" s="490"/>
      <c r="B174" s="681"/>
      <c r="C174" s="325"/>
      <c r="D174" s="326"/>
      <c r="E174" s="682"/>
      <c r="F174" s="336"/>
      <c r="G174" s="336"/>
      <c r="H174" s="336"/>
      <c r="I174" s="336"/>
      <c r="J174" s="336"/>
      <c r="K174" s="337"/>
      <c r="L174" s="337"/>
      <c r="M174" s="263">
        <f>F174-N174</f>
        <v>0</v>
      </c>
      <c r="N174" s="264">
        <f t="shared" si="9"/>
        <v>0</v>
      </c>
      <c r="O174" s="270"/>
      <c r="P174" s="478"/>
      <c r="Q174" s="177"/>
      <c r="R174" s="178"/>
      <c r="S174" s="179"/>
      <c r="T174" s="180"/>
      <c r="U174" s="305"/>
      <c r="V174" s="180"/>
      <c r="W174" s="332"/>
      <c r="X174" s="14"/>
      <c r="Y174" s="29"/>
      <c r="Z174" s="30"/>
      <c r="AA174" s="314"/>
      <c r="AB174" s="315"/>
      <c r="AC174" s="316"/>
      <c r="AD174" s="317"/>
      <c r="AE174" s="318"/>
      <c r="AF174" s="318"/>
      <c r="AG174" s="318"/>
      <c r="AH174" s="319"/>
      <c r="AI174" s="320"/>
      <c r="AJ174" s="683"/>
      <c r="AK174" s="684"/>
      <c r="AL174" s="684"/>
      <c r="AM174" s="684"/>
      <c r="AN174" s="684"/>
      <c r="AO174" s="684"/>
      <c r="AP174" s="684"/>
      <c r="AQ174" s="684"/>
      <c r="AR174" s="684"/>
      <c r="AS174" s="684"/>
      <c r="AT174" s="684"/>
      <c r="AU174" s="684"/>
      <c r="AV174" s="684"/>
      <c r="AW174" s="684"/>
      <c r="AX174" s="684"/>
      <c r="AY174" s="684"/>
      <c r="AZ174" s="684"/>
      <c r="BA174" s="684"/>
      <c r="BB174" s="684"/>
      <c r="BC174" s="684"/>
      <c r="BD174" s="684"/>
      <c r="BE174" s="684"/>
      <c r="BF174" s="684"/>
      <c r="BG174" s="684"/>
      <c r="BH174" s="684"/>
      <c r="BI174" s="684"/>
      <c r="BJ174" s="684"/>
      <c r="BK174" s="684"/>
      <c r="BL174" s="684"/>
      <c r="BM174" s="684"/>
      <c r="BN174" s="684"/>
      <c r="BO174" s="684"/>
      <c r="BP174" s="684"/>
      <c r="BQ174" s="684"/>
      <c r="BR174" s="684"/>
      <c r="BS174" s="684"/>
      <c r="BT174" s="684"/>
      <c r="BU174" s="684"/>
      <c r="BV174" s="684"/>
      <c r="BW174" s="684"/>
      <c r="BX174" s="684"/>
      <c r="BY174" s="684"/>
      <c r="BZ174" s="684"/>
      <c r="CA174" s="684"/>
      <c r="CB174" s="684"/>
      <c r="CC174" s="684"/>
      <c r="CD174" s="684"/>
      <c r="CE174" s="684"/>
      <c r="CF174" s="684"/>
      <c r="CG174" s="684"/>
      <c r="CH174" s="684"/>
      <c r="CI174" s="684"/>
      <c r="CJ174" s="684"/>
      <c r="CK174" s="684"/>
      <c r="CL174" s="684"/>
      <c r="CM174" s="684"/>
      <c r="CN174" s="684"/>
      <c r="CO174" s="684"/>
      <c r="CP174" s="684"/>
      <c r="CQ174" s="684"/>
      <c r="CR174" s="684"/>
      <c r="CS174" s="684"/>
      <c r="CT174" s="684"/>
      <c r="CU174" s="684"/>
      <c r="CV174" s="684"/>
      <c r="CW174" s="684"/>
      <c r="CX174" s="684"/>
      <c r="CY174" s="684"/>
      <c r="CZ174" s="684"/>
      <c r="DA174" s="684"/>
      <c r="DB174" s="684"/>
      <c r="DC174" s="684"/>
      <c r="DD174" s="684"/>
      <c r="DE174" s="684"/>
      <c r="DF174" s="684"/>
      <c r="DG174" s="684"/>
      <c r="DH174" s="684"/>
    </row>
    <row r="175" spans="1:112" s="685" customFormat="1" ht="16.5" hidden="1" thickBot="1">
      <c r="A175" s="490"/>
      <c r="B175" s="681"/>
      <c r="C175" s="309"/>
      <c r="D175" s="326"/>
      <c r="E175" s="682"/>
      <c r="F175" s="336"/>
      <c r="G175" s="336"/>
      <c r="H175" s="336"/>
      <c r="I175" s="336"/>
      <c r="J175" s="336"/>
      <c r="K175" s="337"/>
      <c r="L175" s="337"/>
      <c r="M175" s="263">
        <f>F175-N175</f>
        <v>0</v>
      </c>
      <c r="N175" s="264">
        <f t="shared" si="9"/>
        <v>0</v>
      </c>
      <c r="O175" s="270"/>
      <c r="P175" s="478"/>
      <c r="Q175" s="177"/>
      <c r="R175" s="178"/>
      <c r="S175" s="179"/>
      <c r="T175" s="180"/>
      <c r="U175" s="305"/>
      <c r="V175" s="180"/>
      <c r="W175" s="29"/>
      <c r="X175" s="14"/>
      <c r="Y175" s="29"/>
      <c r="Z175" s="30"/>
      <c r="AA175" s="314"/>
      <c r="AB175" s="315"/>
      <c r="AC175" s="316"/>
      <c r="AD175" s="317"/>
      <c r="AE175" s="318"/>
      <c r="AF175" s="318"/>
      <c r="AG175" s="318"/>
      <c r="AH175" s="319"/>
      <c r="AI175" s="320"/>
      <c r="AJ175" s="683"/>
      <c r="AK175" s="684"/>
      <c r="AL175" s="684"/>
      <c r="AM175" s="684"/>
      <c r="AN175" s="684"/>
      <c r="AO175" s="684"/>
      <c r="AP175" s="684"/>
      <c r="AQ175" s="684"/>
      <c r="AR175" s="684"/>
      <c r="AS175" s="684"/>
      <c r="AT175" s="684"/>
      <c r="AU175" s="684"/>
      <c r="AV175" s="684"/>
      <c r="AW175" s="684"/>
      <c r="AX175" s="684"/>
      <c r="AY175" s="684"/>
      <c r="AZ175" s="684"/>
      <c r="BA175" s="684"/>
      <c r="BB175" s="684"/>
      <c r="BC175" s="684"/>
      <c r="BD175" s="684"/>
      <c r="BE175" s="684"/>
      <c r="BF175" s="684"/>
      <c r="BG175" s="684"/>
      <c r="BH175" s="684"/>
      <c r="BI175" s="684"/>
      <c r="BJ175" s="684"/>
      <c r="BK175" s="684"/>
      <c r="BL175" s="684"/>
      <c r="BM175" s="684"/>
      <c r="BN175" s="684"/>
      <c r="BO175" s="684"/>
      <c r="BP175" s="684"/>
      <c r="BQ175" s="684"/>
      <c r="BR175" s="684"/>
      <c r="BS175" s="684"/>
      <c r="BT175" s="684"/>
      <c r="BU175" s="684"/>
      <c r="BV175" s="684"/>
      <c r="BW175" s="684"/>
      <c r="BX175" s="684"/>
      <c r="BY175" s="684"/>
      <c r="BZ175" s="684"/>
      <c r="CA175" s="684"/>
      <c r="CB175" s="684"/>
      <c r="CC175" s="684"/>
      <c r="CD175" s="684"/>
      <c r="CE175" s="684"/>
      <c r="CF175" s="684"/>
      <c r="CG175" s="684"/>
      <c r="CH175" s="684"/>
      <c r="CI175" s="684"/>
      <c r="CJ175" s="684"/>
      <c r="CK175" s="684"/>
      <c r="CL175" s="684"/>
      <c r="CM175" s="684"/>
      <c r="CN175" s="684"/>
      <c r="CO175" s="684"/>
      <c r="CP175" s="684"/>
      <c r="CQ175" s="684"/>
      <c r="CR175" s="684"/>
      <c r="CS175" s="684"/>
      <c r="CT175" s="684"/>
      <c r="CU175" s="684"/>
      <c r="CV175" s="684"/>
      <c r="CW175" s="684"/>
      <c r="CX175" s="684"/>
      <c r="CY175" s="684"/>
      <c r="CZ175" s="684"/>
      <c r="DA175" s="684"/>
      <c r="DB175" s="684"/>
      <c r="DC175" s="684"/>
      <c r="DD175" s="684"/>
      <c r="DE175" s="684"/>
      <c r="DF175" s="684"/>
      <c r="DG175" s="684"/>
      <c r="DH175" s="684"/>
    </row>
    <row r="176" spans="1:112" s="685" customFormat="1" ht="16.5" hidden="1" thickBot="1">
      <c r="A176" s="493"/>
      <c r="B176" s="686"/>
      <c r="C176" s="647"/>
      <c r="D176" s="341"/>
      <c r="E176" s="687"/>
      <c r="F176" s="421"/>
      <c r="G176" s="421"/>
      <c r="H176" s="421"/>
      <c r="I176" s="421"/>
      <c r="J176" s="421"/>
      <c r="K176" s="313"/>
      <c r="L176" s="313"/>
      <c r="M176" s="263">
        <f>F176-N176</f>
        <v>0</v>
      </c>
      <c r="N176" s="264">
        <f t="shared" si="9"/>
        <v>0</v>
      </c>
      <c r="O176" s="270"/>
      <c r="P176" s="478"/>
      <c r="Q176" s="177"/>
      <c r="R176" s="178"/>
      <c r="S176" s="179"/>
      <c r="T176" s="180"/>
      <c r="U176" s="305"/>
      <c r="V176" s="180"/>
      <c r="W176" s="29"/>
      <c r="X176" s="14"/>
      <c r="Y176" s="29"/>
      <c r="Z176" s="30"/>
      <c r="AA176" s="314"/>
      <c r="AB176" s="315"/>
      <c r="AC176" s="316"/>
      <c r="AD176" s="317"/>
      <c r="AE176" s="318"/>
      <c r="AF176" s="318"/>
      <c r="AG176" s="318"/>
      <c r="AH176" s="319"/>
      <c r="AI176" s="320"/>
      <c r="AJ176" s="683"/>
      <c r="AK176" s="684"/>
      <c r="AL176" s="684"/>
      <c r="AM176" s="684"/>
      <c r="AN176" s="684"/>
      <c r="AO176" s="684"/>
      <c r="AP176" s="684"/>
      <c r="AQ176" s="684"/>
      <c r="AR176" s="684"/>
      <c r="AS176" s="684"/>
      <c r="AT176" s="684"/>
      <c r="AU176" s="684"/>
      <c r="AV176" s="684"/>
      <c r="AW176" s="684"/>
      <c r="AX176" s="684"/>
      <c r="AY176" s="684"/>
      <c r="AZ176" s="684"/>
      <c r="BA176" s="684"/>
      <c r="BB176" s="684"/>
      <c r="BC176" s="684"/>
      <c r="BD176" s="684"/>
      <c r="BE176" s="684"/>
      <c r="BF176" s="684"/>
      <c r="BG176" s="684"/>
      <c r="BH176" s="684"/>
      <c r="BI176" s="684"/>
      <c r="BJ176" s="684"/>
      <c r="BK176" s="684"/>
      <c r="BL176" s="684"/>
      <c r="BM176" s="684"/>
      <c r="BN176" s="684"/>
      <c r="BO176" s="684"/>
      <c r="BP176" s="684"/>
      <c r="BQ176" s="684"/>
      <c r="BR176" s="684"/>
      <c r="BS176" s="684"/>
      <c r="BT176" s="684"/>
      <c r="BU176" s="684"/>
      <c r="BV176" s="684"/>
      <c r="BW176" s="684"/>
      <c r="BX176" s="684"/>
      <c r="BY176" s="684"/>
      <c r="BZ176" s="684"/>
      <c r="CA176" s="684"/>
      <c r="CB176" s="684"/>
      <c r="CC176" s="684"/>
      <c r="CD176" s="684"/>
      <c r="CE176" s="684"/>
      <c r="CF176" s="684"/>
      <c r="CG176" s="684"/>
      <c r="CH176" s="684"/>
      <c r="CI176" s="684"/>
      <c r="CJ176" s="684"/>
      <c r="CK176" s="684"/>
      <c r="CL176" s="684"/>
      <c r="CM176" s="684"/>
      <c r="CN176" s="684"/>
      <c r="CO176" s="684"/>
      <c r="CP176" s="684"/>
      <c r="CQ176" s="684"/>
      <c r="CR176" s="684"/>
      <c r="CS176" s="684"/>
      <c r="CT176" s="684"/>
      <c r="CU176" s="684"/>
      <c r="CV176" s="684"/>
      <c r="CW176" s="684"/>
      <c r="CX176" s="684"/>
      <c r="CY176" s="684"/>
      <c r="CZ176" s="684"/>
      <c r="DA176" s="684"/>
      <c r="DB176" s="684"/>
      <c r="DC176" s="684"/>
      <c r="DD176" s="684"/>
      <c r="DE176" s="684"/>
      <c r="DF176" s="684"/>
      <c r="DG176" s="684"/>
      <c r="DH176" s="684"/>
    </row>
    <row r="177" spans="1:112" s="690" customFormat="1" ht="35.25" customHeight="1" thickBot="1">
      <c r="A177" s="422" t="s">
        <v>201</v>
      </c>
      <c r="B177" s="345" t="s">
        <v>202</v>
      </c>
      <c r="C177" s="346"/>
      <c r="D177" s="347" t="s">
        <v>47</v>
      </c>
      <c r="E177" s="348">
        <f>SUM(E178:E192)</f>
        <v>3.331</v>
      </c>
      <c r="F177" s="349">
        <f>SUM(F178:F192)</f>
        <v>986185</v>
      </c>
      <c r="G177" s="349"/>
      <c r="H177" s="349"/>
      <c r="I177" s="349"/>
      <c r="J177" s="349"/>
      <c r="K177" s="350"/>
      <c r="L177" s="350"/>
      <c r="M177" s="263"/>
      <c r="N177" s="264">
        <f t="shared" si="9"/>
        <v>0</v>
      </c>
      <c r="O177" s="351"/>
      <c r="P177" s="503"/>
      <c r="Q177" s="226"/>
      <c r="R177" s="227"/>
      <c r="S177" s="228"/>
      <c r="T177" s="229"/>
      <c r="U177" s="426"/>
      <c r="V177" s="229"/>
      <c r="W177" s="232"/>
      <c r="X177" s="233"/>
      <c r="Y177" s="232"/>
      <c r="Z177" s="234"/>
      <c r="AA177" s="352">
        <f>F179+F181+F182+F184+F185+F187+F188+F189+F190+F191+F192</f>
        <v>986185</v>
      </c>
      <c r="AB177" s="236"/>
      <c r="AC177" s="353"/>
      <c r="AD177" s="354"/>
      <c r="AE177" s="355"/>
      <c r="AF177" s="355"/>
      <c r="AG177" s="355"/>
      <c r="AH177" s="356"/>
      <c r="AI177" s="239" t="str">
        <f>IF(F177=AA177+AB177+AC177+AD177+AH177,"ОК")</f>
        <v>ОК</v>
      </c>
      <c r="AJ177" s="688">
        <f>532185+41040+56250+80000+60100+168610+48000</f>
        <v>986185</v>
      </c>
      <c r="AK177" s="689"/>
      <c r="AL177" s="689"/>
      <c r="AM177" s="689"/>
      <c r="AN177" s="689"/>
      <c r="AO177" s="689"/>
      <c r="AP177" s="689"/>
      <c r="AQ177" s="689"/>
      <c r="AR177" s="689"/>
      <c r="AS177" s="689"/>
      <c r="AT177" s="689"/>
      <c r="AU177" s="689"/>
      <c r="AV177" s="689"/>
      <c r="AW177" s="689"/>
      <c r="AX177" s="689"/>
      <c r="AY177" s="689"/>
      <c r="AZ177" s="689"/>
      <c r="BA177" s="689"/>
      <c r="BB177" s="689"/>
      <c r="BC177" s="689"/>
      <c r="BD177" s="689"/>
      <c r="BE177" s="689"/>
      <c r="BF177" s="689"/>
      <c r="BG177" s="689"/>
      <c r="BH177" s="689"/>
      <c r="BI177" s="689"/>
      <c r="BJ177" s="689"/>
      <c r="BK177" s="689"/>
      <c r="BL177" s="689"/>
      <c r="BM177" s="689"/>
      <c r="BN177" s="689"/>
      <c r="BO177" s="689"/>
      <c r="BP177" s="689"/>
      <c r="BQ177" s="689"/>
      <c r="BR177" s="689"/>
      <c r="BS177" s="689"/>
      <c r="BT177" s="689"/>
      <c r="BU177" s="689"/>
      <c r="BV177" s="689"/>
      <c r="BW177" s="689"/>
      <c r="BX177" s="689"/>
      <c r="BY177" s="689"/>
      <c r="BZ177" s="689"/>
      <c r="CA177" s="689"/>
      <c r="CB177" s="689"/>
      <c r="CC177" s="689"/>
      <c r="CD177" s="689"/>
      <c r="CE177" s="689"/>
      <c r="CF177" s="689"/>
      <c r="CG177" s="689"/>
      <c r="CH177" s="689"/>
      <c r="CI177" s="689"/>
      <c r="CJ177" s="689"/>
      <c r="CK177" s="689"/>
      <c r="CL177" s="689"/>
      <c r="CM177" s="689"/>
      <c r="CN177" s="689"/>
      <c r="CO177" s="689"/>
      <c r="CP177" s="689"/>
      <c r="CQ177" s="689"/>
      <c r="CR177" s="689"/>
      <c r="CS177" s="689"/>
      <c r="CT177" s="689"/>
      <c r="CU177" s="689"/>
      <c r="CV177" s="689"/>
      <c r="CW177" s="689"/>
      <c r="CX177" s="689"/>
      <c r="CY177" s="689"/>
      <c r="CZ177" s="689"/>
      <c r="DA177" s="689"/>
      <c r="DB177" s="689"/>
      <c r="DC177" s="689"/>
      <c r="DD177" s="689"/>
      <c r="DE177" s="689"/>
      <c r="DF177" s="689"/>
      <c r="DG177" s="689"/>
      <c r="DH177" s="689"/>
    </row>
    <row r="178" spans="1:112" s="679" customFormat="1" ht="24" customHeight="1">
      <c r="A178" s="535"/>
      <c r="B178" s="691" t="s">
        <v>203</v>
      </c>
      <c r="C178" s="692"/>
      <c r="D178" s="543"/>
      <c r="E178" s="693"/>
      <c r="F178" s="694"/>
      <c r="G178" s="695"/>
      <c r="H178" s="696"/>
      <c r="I178" s="696"/>
      <c r="J178" s="696"/>
      <c r="K178" s="269"/>
      <c r="L178" s="269"/>
      <c r="M178" s="263">
        <f>F178-N178</f>
        <v>0</v>
      </c>
      <c r="N178" s="264">
        <f t="shared" si="9"/>
        <v>0</v>
      </c>
      <c r="O178" s="270"/>
      <c r="P178" s="478"/>
      <c r="Q178" s="177"/>
      <c r="R178" s="178"/>
      <c r="S178" s="179"/>
      <c r="T178" s="180"/>
      <c r="U178" s="305"/>
      <c r="V178" s="180"/>
      <c r="W178" s="29"/>
      <c r="X178" s="14"/>
      <c r="Y178" s="29"/>
      <c r="Z178" s="30"/>
      <c r="AA178" s="289"/>
      <c r="AB178" s="290"/>
      <c r="AC178" s="291"/>
      <c r="AD178" s="292"/>
      <c r="AE178" s="293"/>
      <c r="AF178" s="293"/>
      <c r="AG178" s="293"/>
      <c r="AH178" s="294"/>
      <c r="AI178" s="255"/>
      <c r="AJ178" s="677"/>
      <c r="AK178" s="678"/>
      <c r="AL178" s="678"/>
      <c r="AM178" s="678"/>
      <c r="AN178" s="678"/>
      <c r="AO178" s="678"/>
      <c r="AP178" s="678"/>
      <c r="AQ178" s="678"/>
      <c r="AR178" s="678"/>
      <c r="AS178" s="678"/>
      <c r="AT178" s="678"/>
      <c r="AU178" s="678"/>
      <c r="AV178" s="678"/>
      <c r="AW178" s="678"/>
      <c r="AX178" s="678"/>
      <c r="AY178" s="678"/>
      <c r="AZ178" s="678"/>
      <c r="BA178" s="678"/>
      <c r="BB178" s="678"/>
      <c r="BC178" s="678"/>
      <c r="BD178" s="678"/>
      <c r="BE178" s="678"/>
      <c r="BF178" s="678"/>
      <c r="BG178" s="678"/>
      <c r="BH178" s="678"/>
      <c r="BI178" s="678"/>
      <c r="BJ178" s="678"/>
      <c r="BK178" s="678"/>
      <c r="BL178" s="678"/>
      <c r="BM178" s="678"/>
      <c r="BN178" s="678"/>
      <c r="BO178" s="678"/>
      <c r="BP178" s="678"/>
      <c r="BQ178" s="678"/>
      <c r="BR178" s="678"/>
      <c r="BS178" s="678"/>
      <c r="BT178" s="678"/>
      <c r="BU178" s="678"/>
      <c r="BV178" s="678"/>
      <c r="BW178" s="678"/>
      <c r="BX178" s="678"/>
      <c r="BY178" s="678"/>
      <c r="BZ178" s="678"/>
      <c r="CA178" s="678"/>
      <c r="CB178" s="678"/>
      <c r="CC178" s="678"/>
      <c r="CD178" s="678"/>
      <c r="CE178" s="678"/>
      <c r="CF178" s="678"/>
      <c r="CG178" s="678"/>
      <c r="CH178" s="678"/>
      <c r="CI178" s="678"/>
      <c r="CJ178" s="678"/>
      <c r="CK178" s="678"/>
      <c r="CL178" s="678"/>
      <c r="CM178" s="678"/>
      <c r="CN178" s="678"/>
      <c r="CO178" s="678"/>
      <c r="CP178" s="678"/>
      <c r="CQ178" s="678"/>
      <c r="CR178" s="678"/>
      <c r="CS178" s="678"/>
      <c r="CT178" s="678"/>
      <c r="CU178" s="678"/>
      <c r="CV178" s="678"/>
      <c r="CW178" s="678"/>
      <c r="CX178" s="678"/>
      <c r="CY178" s="678"/>
      <c r="CZ178" s="678"/>
      <c r="DA178" s="678"/>
      <c r="DB178" s="678"/>
      <c r="DC178" s="678"/>
      <c r="DD178" s="678"/>
      <c r="DE178" s="678"/>
      <c r="DF178" s="678"/>
      <c r="DG178" s="678"/>
      <c r="DH178" s="678"/>
    </row>
    <row r="179" spans="1:112" s="679" customFormat="1" ht="63">
      <c r="A179" s="535"/>
      <c r="B179" s="697" t="s">
        <v>204</v>
      </c>
      <c r="C179" s="242" t="s">
        <v>205</v>
      </c>
      <c r="D179" s="258" t="s">
        <v>47</v>
      </c>
      <c r="E179" s="282">
        <v>0.5</v>
      </c>
      <c r="F179" s="698">
        <v>150000</v>
      </c>
      <c r="G179" s="699" t="s">
        <v>89</v>
      </c>
      <c r="H179" s="268" t="s">
        <v>90</v>
      </c>
      <c r="I179" s="599" t="s">
        <v>66</v>
      </c>
      <c r="J179" s="268"/>
      <c r="K179" s="269"/>
      <c r="L179" s="269"/>
      <c r="M179" s="263">
        <f>F179-N179</f>
        <v>150000</v>
      </c>
      <c r="N179" s="264">
        <f t="shared" si="9"/>
        <v>0</v>
      </c>
      <c r="O179" s="270"/>
      <c r="P179" s="478"/>
      <c r="Q179" s="177"/>
      <c r="R179" s="178"/>
      <c r="S179" s="179"/>
      <c r="T179" s="180"/>
      <c r="U179" s="305"/>
      <c r="V179" s="180"/>
      <c r="W179" s="29"/>
      <c r="X179" s="14"/>
      <c r="Y179" s="29"/>
      <c r="Z179" s="30"/>
      <c r="AA179" s="289"/>
      <c r="AB179" s="290"/>
      <c r="AC179" s="291"/>
      <c r="AD179" s="292"/>
      <c r="AE179" s="293"/>
      <c r="AF179" s="293"/>
      <c r="AG179" s="293"/>
      <c r="AH179" s="294"/>
      <c r="AI179" s="255"/>
      <c r="AJ179" s="677"/>
      <c r="AK179" s="678"/>
      <c r="AL179" s="678"/>
      <c r="AM179" s="678"/>
      <c r="AN179" s="678"/>
      <c r="AO179" s="678"/>
      <c r="AP179" s="678"/>
      <c r="AQ179" s="678"/>
      <c r="AR179" s="678"/>
      <c r="AS179" s="678"/>
      <c r="AT179" s="678"/>
      <c r="AU179" s="678"/>
      <c r="AV179" s="678"/>
      <c r="AW179" s="678"/>
      <c r="AX179" s="678"/>
      <c r="AY179" s="678"/>
      <c r="AZ179" s="678"/>
      <c r="BA179" s="678"/>
      <c r="BB179" s="678"/>
      <c r="BC179" s="678"/>
      <c r="BD179" s="678"/>
      <c r="BE179" s="678"/>
      <c r="BF179" s="678"/>
      <c r="BG179" s="678"/>
      <c r="BH179" s="678"/>
      <c r="BI179" s="678"/>
      <c r="BJ179" s="678"/>
      <c r="BK179" s="678"/>
      <c r="BL179" s="678"/>
      <c r="BM179" s="678"/>
      <c r="BN179" s="678"/>
      <c r="BO179" s="678"/>
      <c r="BP179" s="678"/>
      <c r="BQ179" s="678"/>
      <c r="BR179" s="678"/>
      <c r="BS179" s="678"/>
      <c r="BT179" s="678"/>
      <c r="BU179" s="678"/>
      <c r="BV179" s="678"/>
      <c r="BW179" s="678"/>
      <c r="BX179" s="678"/>
      <c r="BY179" s="678"/>
      <c r="BZ179" s="678"/>
      <c r="CA179" s="678"/>
      <c r="CB179" s="678"/>
      <c r="CC179" s="678"/>
      <c r="CD179" s="678"/>
      <c r="CE179" s="678"/>
      <c r="CF179" s="678"/>
      <c r="CG179" s="678"/>
      <c r="CH179" s="678"/>
      <c r="CI179" s="678"/>
      <c r="CJ179" s="678"/>
      <c r="CK179" s="678"/>
      <c r="CL179" s="678"/>
      <c r="CM179" s="678"/>
      <c r="CN179" s="678"/>
      <c r="CO179" s="678"/>
      <c r="CP179" s="678"/>
      <c r="CQ179" s="678"/>
      <c r="CR179" s="678"/>
      <c r="CS179" s="678"/>
      <c r="CT179" s="678"/>
      <c r="CU179" s="678"/>
      <c r="CV179" s="678"/>
      <c r="CW179" s="678"/>
      <c r="CX179" s="678"/>
      <c r="CY179" s="678"/>
      <c r="CZ179" s="678"/>
      <c r="DA179" s="678"/>
      <c r="DB179" s="678"/>
      <c r="DC179" s="678"/>
      <c r="DD179" s="678"/>
      <c r="DE179" s="678"/>
      <c r="DF179" s="678"/>
      <c r="DG179" s="678"/>
      <c r="DH179" s="678"/>
    </row>
    <row r="180" spans="1:112" s="711" customFormat="1" ht="15.75">
      <c r="A180" s="700"/>
      <c r="B180" s="701" t="s">
        <v>206</v>
      </c>
      <c r="C180" s="702"/>
      <c r="D180" s="703"/>
      <c r="E180" s="704"/>
      <c r="F180" s="705"/>
      <c r="G180" s="706"/>
      <c r="H180" s="707"/>
      <c r="I180" s="707"/>
      <c r="J180" s="707"/>
      <c r="K180" s="708"/>
      <c r="L180" s="708"/>
      <c r="M180" s="263"/>
      <c r="N180" s="264"/>
      <c r="O180" s="517"/>
      <c r="P180" s="478"/>
      <c r="Q180" s="187"/>
      <c r="R180" s="518"/>
      <c r="S180" s="519"/>
      <c r="T180" s="520"/>
      <c r="U180" s="521"/>
      <c r="V180" s="520"/>
      <c r="W180" s="522"/>
      <c r="X180" s="22"/>
      <c r="Y180" s="522"/>
      <c r="Z180" s="30"/>
      <c r="AA180" s="54"/>
      <c r="AB180" s="524"/>
      <c r="AC180" s="525"/>
      <c r="AD180" s="526"/>
      <c r="AE180" s="527"/>
      <c r="AF180" s="527"/>
      <c r="AG180" s="527"/>
      <c r="AH180" s="528"/>
      <c r="AI180" s="255"/>
      <c r="AJ180" s="709"/>
      <c r="AK180" s="710"/>
      <c r="AL180" s="710"/>
      <c r="AM180" s="710"/>
      <c r="AN180" s="710"/>
      <c r="AO180" s="710"/>
      <c r="AP180" s="710"/>
      <c r="AQ180" s="710"/>
      <c r="AR180" s="710"/>
      <c r="AS180" s="710"/>
      <c r="AT180" s="710"/>
      <c r="AU180" s="710"/>
      <c r="AV180" s="710"/>
      <c r="AW180" s="710"/>
      <c r="AX180" s="710"/>
      <c r="AY180" s="710"/>
      <c r="AZ180" s="710"/>
      <c r="BA180" s="710"/>
      <c r="BB180" s="710"/>
      <c r="BC180" s="710"/>
      <c r="BD180" s="710"/>
      <c r="BE180" s="710"/>
      <c r="BF180" s="710"/>
      <c r="BG180" s="710"/>
      <c r="BH180" s="710"/>
      <c r="BI180" s="710"/>
      <c r="BJ180" s="710"/>
      <c r="BK180" s="710"/>
      <c r="BL180" s="710"/>
      <c r="BM180" s="710"/>
      <c r="BN180" s="710"/>
      <c r="BO180" s="710"/>
      <c r="BP180" s="710"/>
      <c r="BQ180" s="710"/>
      <c r="BR180" s="710"/>
      <c r="BS180" s="710"/>
      <c r="BT180" s="710"/>
      <c r="BU180" s="710"/>
      <c r="BV180" s="710"/>
      <c r="BW180" s="710"/>
      <c r="BX180" s="710"/>
      <c r="BY180" s="710"/>
      <c r="BZ180" s="710"/>
      <c r="CA180" s="710"/>
      <c r="CB180" s="710"/>
      <c r="CC180" s="710"/>
      <c r="CD180" s="710"/>
      <c r="CE180" s="710"/>
      <c r="CF180" s="710"/>
      <c r="CG180" s="710"/>
      <c r="CH180" s="710"/>
      <c r="CI180" s="710"/>
      <c r="CJ180" s="710"/>
      <c r="CK180" s="710"/>
      <c r="CL180" s="710"/>
      <c r="CM180" s="710"/>
      <c r="CN180" s="710"/>
      <c r="CO180" s="710"/>
      <c r="CP180" s="710"/>
      <c r="CQ180" s="710"/>
      <c r="CR180" s="710"/>
      <c r="CS180" s="710"/>
      <c r="CT180" s="710"/>
      <c r="CU180" s="710"/>
      <c r="CV180" s="710"/>
      <c r="CW180" s="710"/>
      <c r="CX180" s="710"/>
      <c r="CY180" s="710"/>
      <c r="CZ180" s="710"/>
      <c r="DA180" s="710"/>
      <c r="DB180" s="710"/>
      <c r="DC180" s="710"/>
      <c r="DD180" s="710"/>
      <c r="DE180" s="710"/>
      <c r="DF180" s="710"/>
      <c r="DG180" s="710"/>
      <c r="DH180" s="710"/>
    </row>
    <row r="181" spans="1:112" s="679" customFormat="1" ht="63">
      <c r="A181" s="535"/>
      <c r="B181" s="697" t="s">
        <v>207</v>
      </c>
      <c r="C181" s="486" t="s">
        <v>69</v>
      </c>
      <c r="D181" s="258" t="s">
        <v>47</v>
      </c>
      <c r="E181" s="282">
        <v>0.37</v>
      </c>
      <c r="F181" s="698">
        <v>49950</v>
      </c>
      <c r="G181" s="699" t="s">
        <v>92</v>
      </c>
      <c r="H181" s="268" t="s">
        <v>70</v>
      </c>
      <c r="I181" s="599" t="s">
        <v>66</v>
      </c>
      <c r="J181" s="260" t="s">
        <v>72</v>
      </c>
      <c r="K181" s="269"/>
      <c r="L181" s="269"/>
      <c r="M181" s="263">
        <f>F181-N181</f>
        <v>49950</v>
      </c>
      <c r="N181" s="264">
        <f t="shared" si="9"/>
        <v>0</v>
      </c>
      <c r="O181" s="270"/>
      <c r="P181" s="478"/>
      <c r="Q181" s="177"/>
      <c r="R181" s="178"/>
      <c r="S181" s="179"/>
      <c r="T181" s="180"/>
      <c r="U181" s="305"/>
      <c r="V181" s="180"/>
      <c r="W181" s="29"/>
      <c r="X181" s="14"/>
      <c r="Y181" s="29"/>
      <c r="Z181" s="30"/>
      <c r="AA181" s="289"/>
      <c r="AB181" s="290"/>
      <c r="AC181" s="291"/>
      <c r="AD181" s="292"/>
      <c r="AE181" s="293"/>
      <c r="AF181" s="293"/>
      <c r="AG181" s="293"/>
      <c r="AH181" s="294"/>
      <c r="AI181" s="255"/>
      <c r="AJ181" s="677"/>
      <c r="AK181" s="678"/>
      <c r="AL181" s="678"/>
      <c r="AM181" s="678"/>
      <c r="AN181" s="678"/>
      <c r="AO181" s="678"/>
      <c r="AP181" s="678"/>
      <c r="AQ181" s="678"/>
      <c r="AR181" s="678"/>
      <c r="AS181" s="678"/>
      <c r="AT181" s="678"/>
      <c r="AU181" s="678"/>
      <c r="AV181" s="678"/>
      <c r="AW181" s="678"/>
      <c r="AX181" s="678"/>
      <c r="AY181" s="678"/>
      <c r="AZ181" s="678"/>
      <c r="BA181" s="678"/>
      <c r="BB181" s="678"/>
      <c r="BC181" s="678"/>
      <c r="BD181" s="678"/>
      <c r="BE181" s="678"/>
      <c r="BF181" s="678"/>
      <c r="BG181" s="678"/>
      <c r="BH181" s="678"/>
      <c r="BI181" s="678"/>
      <c r="BJ181" s="678"/>
      <c r="BK181" s="678"/>
      <c r="BL181" s="678"/>
      <c r="BM181" s="678"/>
      <c r="BN181" s="678"/>
      <c r="BO181" s="678"/>
      <c r="BP181" s="678"/>
      <c r="BQ181" s="678"/>
      <c r="BR181" s="678"/>
      <c r="BS181" s="678"/>
      <c r="BT181" s="678"/>
      <c r="BU181" s="678"/>
      <c r="BV181" s="678"/>
      <c r="BW181" s="678"/>
      <c r="BX181" s="678"/>
      <c r="BY181" s="678"/>
      <c r="BZ181" s="678"/>
      <c r="CA181" s="678"/>
      <c r="CB181" s="678"/>
      <c r="CC181" s="678"/>
      <c r="CD181" s="678"/>
      <c r="CE181" s="678"/>
      <c r="CF181" s="678"/>
      <c r="CG181" s="678"/>
      <c r="CH181" s="678"/>
      <c r="CI181" s="678"/>
      <c r="CJ181" s="678"/>
      <c r="CK181" s="678"/>
      <c r="CL181" s="678"/>
      <c r="CM181" s="678"/>
      <c r="CN181" s="678"/>
      <c r="CO181" s="678"/>
      <c r="CP181" s="678"/>
      <c r="CQ181" s="678"/>
      <c r="CR181" s="678"/>
      <c r="CS181" s="678"/>
      <c r="CT181" s="678"/>
      <c r="CU181" s="678"/>
      <c r="CV181" s="678"/>
      <c r="CW181" s="678"/>
      <c r="CX181" s="678"/>
      <c r="CY181" s="678"/>
      <c r="CZ181" s="678"/>
      <c r="DA181" s="678"/>
      <c r="DB181" s="678"/>
      <c r="DC181" s="678"/>
      <c r="DD181" s="678"/>
      <c r="DE181" s="678"/>
      <c r="DF181" s="678"/>
      <c r="DG181" s="678"/>
      <c r="DH181" s="678"/>
    </row>
    <row r="182" spans="1:112" s="679" customFormat="1" ht="63">
      <c r="A182" s="535"/>
      <c r="B182" s="712" t="s">
        <v>208</v>
      </c>
      <c r="C182" s="486" t="s">
        <v>69</v>
      </c>
      <c r="D182" s="547" t="s">
        <v>47</v>
      </c>
      <c r="E182" s="713">
        <v>0.545</v>
      </c>
      <c r="F182" s="714">
        <v>73575</v>
      </c>
      <c r="G182" s="699" t="s">
        <v>92</v>
      </c>
      <c r="H182" s="268" t="s">
        <v>70</v>
      </c>
      <c r="I182" s="599" t="s">
        <v>66</v>
      </c>
      <c r="J182" s="260" t="s">
        <v>72</v>
      </c>
      <c r="K182" s="269"/>
      <c r="L182" s="269"/>
      <c r="M182" s="263">
        <f>F182-N182</f>
        <v>73575</v>
      </c>
      <c r="N182" s="264">
        <f t="shared" si="9"/>
        <v>0</v>
      </c>
      <c r="O182" s="270"/>
      <c r="P182" s="478"/>
      <c r="Q182" s="177"/>
      <c r="R182" s="178"/>
      <c r="S182" s="179"/>
      <c r="T182" s="180"/>
      <c r="U182" s="305"/>
      <c r="V182" s="180"/>
      <c r="W182" s="29"/>
      <c r="X182" s="14"/>
      <c r="Y182" s="29"/>
      <c r="Z182" s="30"/>
      <c r="AA182" s="289"/>
      <c r="AB182" s="290"/>
      <c r="AC182" s="291"/>
      <c r="AD182" s="292"/>
      <c r="AE182" s="293"/>
      <c r="AF182" s="293"/>
      <c r="AG182" s="293"/>
      <c r="AH182" s="294"/>
      <c r="AI182" s="255"/>
      <c r="AJ182" s="677"/>
      <c r="AK182" s="678"/>
      <c r="AL182" s="678"/>
      <c r="AM182" s="678"/>
      <c r="AN182" s="678"/>
      <c r="AO182" s="678"/>
      <c r="AP182" s="678"/>
      <c r="AQ182" s="678"/>
      <c r="AR182" s="678"/>
      <c r="AS182" s="678"/>
      <c r="AT182" s="678"/>
      <c r="AU182" s="678"/>
      <c r="AV182" s="678"/>
      <c r="AW182" s="678"/>
      <c r="AX182" s="678"/>
      <c r="AY182" s="678"/>
      <c r="AZ182" s="678"/>
      <c r="BA182" s="678"/>
      <c r="BB182" s="678"/>
      <c r="BC182" s="678"/>
      <c r="BD182" s="678"/>
      <c r="BE182" s="678"/>
      <c r="BF182" s="678"/>
      <c r="BG182" s="678"/>
      <c r="BH182" s="678"/>
      <c r="BI182" s="678"/>
      <c r="BJ182" s="678"/>
      <c r="BK182" s="678"/>
      <c r="BL182" s="678"/>
      <c r="BM182" s="678"/>
      <c r="BN182" s="678"/>
      <c r="BO182" s="678"/>
      <c r="BP182" s="678"/>
      <c r="BQ182" s="678"/>
      <c r="BR182" s="678"/>
      <c r="BS182" s="678"/>
      <c r="BT182" s="678"/>
      <c r="BU182" s="678"/>
      <c r="BV182" s="678"/>
      <c r="BW182" s="678"/>
      <c r="BX182" s="678"/>
      <c r="BY182" s="678"/>
      <c r="BZ182" s="678"/>
      <c r="CA182" s="678"/>
      <c r="CB182" s="678"/>
      <c r="CC182" s="678"/>
      <c r="CD182" s="678"/>
      <c r="CE182" s="678"/>
      <c r="CF182" s="678"/>
      <c r="CG182" s="678"/>
      <c r="CH182" s="678"/>
      <c r="CI182" s="678"/>
      <c r="CJ182" s="678"/>
      <c r="CK182" s="678"/>
      <c r="CL182" s="678"/>
      <c r="CM182" s="678"/>
      <c r="CN182" s="678"/>
      <c r="CO182" s="678"/>
      <c r="CP182" s="678"/>
      <c r="CQ182" s="678"/>
      <c r="CR182" s="678"/>
      <c r="CS182" s="678"/>
      <c r="CT182" s="678"/>
      <c r="CU182" s="678"/>
      <c r="CV182" s="678"/>
      <c r="CW182" s="678"/>
      <c r="CX182" s="678"/>
      <c r="CY182" s="678"/>
      <c r="CZ182" s="678"/>
      <c r="DA182" s="678"/>
      <c r="DB182" s="678"/>
      <c r="DC182" s="678"/>
      <c r="DD182" s="678"/>
      <c r="DE182" s="678"/>
      <c r="DF182" s="678"/>
      <c r="DG182" s="678"/>
      <c r="DH182" s="678"/>
    </row>
    <row r="183" spans="1:112" s="711" customFormat="1" ht="15.75">
      <c r="A183" s="700"/>
      <c r="B183" s="715" t="s">
        <v>209</v>
      </c>
      <c r="C183" s="589"/>
      <c r="D183" s="243"/>
      <c r="E183" s="704"/>
      <c r="F183" s="705"/>
      <c r="G183" s="706"/>
      <c r="H183" s="707"/>
      <c r="I183" s="707"/>
      <c r="J183" s="707"/>
      <c r="K183" s="708"/>
      <c r="L183" s="708"/>
      <c r="M183" s="263"/>
      <c r="N183" s="264"/>
      <c r="O183" s="517"/>
      <c r="P183" s="478"/>
      <c r="Q183" s="187"/>
      <c r="R183" s="518"/>
      <c r="S183" s="519"/>
      <c r="T183" s="520"/>
      <c r="U183" s="521"/>
      <c r="V183" s="520"/>
      <c r="W183" s="522"/>
      <c r="X183" s="22"/>
      <c r="Y183" s="522"/>
      <c r="Z183" s="30"/>
      <c r="AA183" s="54"/>
      <c r="AB183" s="524"/>
      <c r="AC183" s="525"/>
      <c r="AD183" s="526"/>
      <c r="AE183" s="527"/>
      <c r="AF183" s="527"/>
      <c r="AG183" s="527"/>
      <c r="AH183" s="528"/>
      <c r="AI183" s="255"/>
      <c r="AJ183" s="709"/>
      <c r="AK183" s="710"/>
      <c r="AL183" s="710"/>
      <c r="AM183" s="710"/>
      <c r="AN183" s="710"/>
      <c r="AO183" s="710"/>
      <c r="AP183" s="710"/>
      <c r="AQ183" s="710"/>
      <c r="AR183" s="710"/>
      <c r="AS183" s="710"/>
      <c r="AT183" s="710"/>
      <c r="AU183" s="710"/>
      <c r="AV183" s="710"/>
      <c r="AW183" s="710"/>
      <c r="AX183" s="710"/>
      <c r="AY183" s="710"/>
      <c r="AZ183" s="710"/>
      <c r="BA183" s="710"/>
      <c r="BB183" s="710"/>
      <c r="BC183" s="710"/>
      <c r="BD183" s="710"/>
      <c r="BE183" s="710"/>
      <c r="BF183" s="710"/>
      <c r="BG183" s="710"/>
      <c r="BH183" s="710"/>
      <c r="BI183" s="710"/>
      <c r="BJ183" s="710"/>
      <c r="BK183" s="710"/>
      <c r="BL183" s="710"/>
      <c r="BM183" s="710"/>
      <c r="BN183" s="710"/>
      <c r="BO183" s="710"/>
      <c r="BP183" s="710"/>
      <c r="BQ183" s="710"/>
      <c r="BR183" s="710"/>
      <c r="BS183" s="710"/>
      <c r="BT183" s="710"/>
      <c r="BU183" s="710"/>
      <c r="BV183" s="710"/>
      <c r="BW183" s="710"/>
      <c r="BX183" s="710"/>
      <c r="BY183" s="710"/>
      <c r="BZ183" s="710"/>
      <c r="CA183" s="710"/>
      <c r="CB183" s="710"/>
      <c r="CC183" s="710"/>
      <c r="CD183" s="710"/>
      <c r="CE183" s="710"/>
      <c r="CF183" s="710"/>
      <c r="CG183" s="710"/>
      <c r="CH183" s="710"/>
      <c r="CI183" s="710"/>
      <c r="CJ183" s="710"/>
      <c r="CK183" s="710"/>
      <c r="CL183" s="710"/>
      <c r="CM183" s="710"/>
      <c r="CN183" s="710"/>
      <c r="CO183" s="710"/>
      <c r="CP183" s="710"/>
      <c r="CQ183" s="710"/>
      <c r="CR183" s="710"/>
      <c r="CS183" s="710"/>
      <c r="CT183" s="710"/>
      <c r="CU183" s="710"/>
      <c r="CV183" s="710"/>
      <c r="CW183" s="710"/>
      <c r="CX183" s="710"/>
      <c r="CY183" s="710"/>
      <c r="CZ183" s="710"/>
      <c r="DA183" s="710"/>
      <c r="DB183" s="710"/>
      <c r="DC183" s="710"/>
      <c r="DD183" s="710"/>
      <c r="DE183" s="710"/>
      <c r="DF183" s="710"/>
      <c r="DG183" s="710"/>
      <c r="DH183" s="710"/>
    </row>
    <row r="184" spans="1:112" s="679" customFormat="1" ht="63">
      <c r="A184" s="535"/>
      <c r="B184" s="697" t="s">
        <v>156</v>
      </c>
      <c r="C184" s="486" t="s">
        <v>69</v>
      </c>
      <c r="D184" s="258" t="s">
        <v>47</v>
      </c>
      <c r="E184" s="282">
        <v>0.808</v>
      </c>
      <c r="F184" s="698">
        <v>109080</v>
      </c>
      <c r="G184" s="699" t="s">
        <v>92</v>
      </c>
      <c r="H184" s="268" t="s">
        <v>70</v>
      </c>
      <c r="I184" s="599" t="s">
        <v>66</v>
      </c>
      <c r="J184" s="260" t="s">
        <v>72</v>
      </c>
      <c r="K184" s="269"/>
      <c r="L184" s="269"/>
      <c r="M184" s="263">
        <f>F184-N184</f>
        <v>109080</v>
      </c>
      <c r="N184" s="264">
        <f t="shared" si="9"/>
        <v>0</v>
      </c>
      <c r="O184" s="270"/>
      <c r="P184" s="478"/>
      <c r="Q184" s="177"/>
      <c r="R184" s="178"/>
      <c r="S184" s="179"/>
      <c r="T184" s="180"/>
      <c r="U184" s="305"/>
      <c r="V184" s="180"/>
      <c r="W184" s="29"/>
      <c r="X184" s="14"/>
      <c r="Y184" s="29"/>
      <c r="Z184" s="30"/>
      <c r="AA184" s="289"/>
      <c r="AB184" s="290"/>
      <c r="AC184" s="291"/>
      <c r="AD184" s="292"/>
      <c r="AE184" s="293"/>
      <c r="AF184" s="293"/>
      <c r="AG184" s="293"/>
      <c r="AH184" s="294"/>
      <c r="AI184" s="255"/>
      <c r="AJ184" s="677"/>
      <c r="AK184" s="678"/>
      <c r="AL184" s="678"/>
      <c r="AM184" s="678"/>
      <c r="AN184" s="678"/>
      <c r="AO184" s="678"/>
      <c r="AP184" s="678"/>
      <c r="AQ184" s="678"/>
      <c r="AR184" s="678"/>
      <c r="AS184" s="678"/>
      <c r="AT184" s="678"/>
      <c r="AU184" s="678"/>
      <c r="AV184" s="678"/>
      <c r="AW184" s="678"/>
      <c r="AX184" s="678"/>
      <c r="AY184" s="678"/>
      <c r="AZ184" s="678"/>
      <c r="BA184" s="678"/>
      <c r="BB184" s="678"/>
      <c r="BC184" s="678"/>
      <c r="BD184" s="678"/>
      <c r="BE184" s="678"/>
      <c r="BF184" s="678"/>
      <c r="BG184" s="678"/>
      <c r="BH184" s="678"/>
      <c r="BI184" s="678"/>
      <c r="BJ184" s="678"/>
      <c r="BK184" s="678"/>
      <c r="BL184" s="678"/>
      <c r="BM184" s="678"/>
      <c r="BN184" s="678"/>
      <c r="BO184" s="678"/>
      <c r="BP184" s="678"/>
      <c r="BQ184" s="678"/>
      <c r="BR184" s="678"/>
      <c r="BS184" s="678"/>
      <c r="BT184" s="678"/>
      <c r="BU184" s="678"/>
      <c r="BV184" s="678"/>
      <c r="BW184" s="678"/>
      <c r="BX184" s="678"/>
      <c r="BY184" s="678"/>
      <c r="BZ184" s="678"/>
      <c r="CA184" s="678"/>
      <c r="CB184" s="678"/>
      <c r="CC184" s="678"/>
      <c r="CD184" s="678"/>
      <c r="CE184" s="678"/>
      <c r="CF184" s="678"/>
      <c r="CG184" s="678"/>
      <c r="CH184" s="678"/>
      <c r="CI184" s="678"/>
      <c r="CJ184" s="678"/>
      <c r="CK184" s="678"/>
      <c r="CL184" s="678"/>
      <c r="CM184" s="678"/>
      <c r="CN184" s="678"/>
      <c r="CO184" s="678"/>
      <c r="CP184" s="678"/>
      <c r="CQ184" s="678"/>
      <c r="CR184" s="678"/>
      <c r="CS184" s="678"/>
      <c r="CT184" s="678"/>
      <c r="CU184" s="678"/>
      <c r="CV184" s="678"/>
      <c r="CW184" s="678"/>
      <c r="CX184" s="678"/>
      <c r="CY184" s="678"/>
      <c r="CZ184" s="678"/>
      <c r="DA184" s="678"/>
      <c r="DB184" s="678"/>
      <c r="DC184" s="678"/>
      <c r="DD184" s="678"/>
      <c r="DE184" s="678"/>
      <c r="DF184" s="678"/>
      <c r="DG184" s="678"/>
      <c r="DH184" s="678"/>
    </row>
    <row r="185" spans="1:112" s="679" customFormat="1" ht="63">
      <c r="A185" s="535"/>
      <c r="B185" s="697" t="s">
        <v>87</v>
      </c>
      <c r="C185" s="589" t="s">
        <v>69</v>
      </c>
      <c r="D185" s="258" t="s">
        <v>47</v>
      </c>
      <c r="E185" s="282">
        <v>1.108</v>
      </c>
      <c r="F185" s="698">
        <v>149580</v>
      </c>
      <c r="G185" s="699" t="s">
        <v>92</v>
      </c>
      <c r="H185" s="268" t="s">
        <v>70</v>
      </c>
      <c r="I185" s="599" t="s">
        <v>66</v>
      </c>
      <c r="J185" s="260" t="s">
        <v>72</v>
      </c>
      <c r="K185" s="269"/>
      <c r="L185" s="269"/>
      <c r="M185" s="263">
        <f>F185-N185</f>
        <v>149580</v>
      </c>
      <c r="N185" s="264">
        <f t="shared" si="9"/>
        <v>0</v>
      </c>
      <c r="O185" s="270"/>
      <c r="P185" s="478"/>
      <c r="Q185" s="177"/>
      <c r="R185" s="178"/>
      <c r="S185" s="179"/>
      <c r="T185" s="180"/>
      <c r="U185" s="305"/>
      <c r="V185" s="180"/>
      <c r="W185" s="29"/>
      <c r="X185" s="14"/>
      <c r="Y185" s="29"/>
      <c r="Z185" s="30"/>
      <c r="AA185" s="289"/>
      <c r="AB185" s="290"/>
      <c r="AC185" s="291"/>
      <c r="AD185" s="292"/>
      <c r="AE185" s="293"/>
      <c r="AF185" s="293"/>
      <c r="AG185" s="293"/>
      <c r="AH185" s="294"/>
      <c r="AI185" s="255"/>
      <c r="AJ185" s="677"/>
      <c r="AK185" s="678"/>
      <c r="AL185" s="678"/>
      <c r="AM185" s="678"/>
      <c r="AN185" s="678"/>
      <c r="AO185" s="678"/>
      <c r="AP185" s="678"/>
      <c r="AQ185" s="678"/>
      <c r="AR185" s="678"/>
      <c r="AS185" s="678"/>
      <c r="AT185" s="678"/>
      <c r="AU185" s="678"/>
      <c r="AV185" s="678"/>
      <c r="AW185" s="678"/>
      <c r="AX185" s="678"/>
      <c r="AY185" s="678"/>
      <c r="AZ185" s="678"/>
      <c r="BA185" s="678"/>
      <c r="BB185" s="678"/>
      <c r="BC185" s="678"/>
      <c r="BD185" s="678"/>
      <c r="BE185" s="678"/>
      <c r="BF185" s="678"/>
      <c r="BG185" s="678"/>
      <c r="BH185" s="678"/>
      <c r="BI185" s="678"/>
      <c r="BJ185" s="678"/>
      <c r="BK185" s="678"/>
      <c r="BL185" s="678"/>
      <c r="BM185" s="678"/>
      <c r="BN185" s="678"/>
      <c r="BO185" s="678"/>
      <c r="BP185" s="678"/>
      <c r="BQ185" s="678"/>
      <c r="BR185" s="678"/>
      <c r="BS185" s="678"/>
      <c r="BT185" s="678"/>
      <c r="BU185" s="678"/>
      <c r="BV185" s="678"/>
      <c r="BW185" s="678"/>
      <c r="BX185" s="678"/>
      <c r="BY185" s="678"/>
      <c r="BZ185" s="678"/>
      <c r="CA185" s="678"/>
      <c r="CB185" s="678"/>
      <c r="CC185" s="678"/>
      <c r="CD185" s="678"/>
      <c r="CE185" s="678"/>
      <c r="CF185" s="678"/>
      <c r="CG185" s="678"/>
      <c r="CH185" s="678"/>
      <c r="CI185" s="678"/>
      <c r="CJ185" s="678"/>
      <c r="CK185" s="678"/>
      <c r="CL185" s="678"/>
      <c r="CM185" s="678"/>
      <c r="CN185" s="678"/>
      <c r="CO185" s="678"/>
      <c r="CP185" s="678"/>
      <c r="CQ185" s="678"/>
      <c r="CR185" s="678"/>
      <c r="CS185" s="678"/>
      <c r="CT185" s="678"/>
      <c r="CU185" s="678"/>
      <c r="CV185" s="678"/>
      <c r="CW185" s="678"/>
      <c r="CX185" s="678"/>
      <c r="CY185" s="678"/>
      <c r="CZ185" s="678"/>
      <c r="DA185" s="678"/>
      <c r="DB185" s="678"/>
      <c r="DC185" s="678"/>
      <c r="DD185" s="678"/>
      <c r="DE185" s="678"/>
      <c r="DF185" s="678"/>
      <c r="DG185" s="678"/>
      <c r="DH185" s="678"/>
    </row>
    <row r="186" spans="1:112" s="711" customFormat="1" ht="15.75">
      <c r="A186" s="700"/>
      <c r="B186" s="701" t="s">
        <v>210</v>
      </c>
      <c r="C186" s="702"/>
      <c r="D186" s="703"/>
      <c r="E186" s="704"/>
      <c r="F186" s="705"/>
      <c r="G186" s="706"/>
      <c r="H186" s="707"/>
      <c r="I186" s="707"/>
      <c r="J186" s="707"/>
      <c r="K186" s="708"/>
      <c r="L186" s="708"/>
      <c r="M186" s="263"/>
      <c r="N186" s="264"/>
      <c r="O186" s="517"/>
      <c r="P186" s="478"/>
      <c r="Q186" s="187"/>
      <c r="R186" s="518"/>
      <c r="S186" s="519"/>
      <c r="T186" s="520"/>
      <c r="U186" s="521"/>
      <c r="V186" s="520"/>
      <c r="W186" s="522"/>
      <c r="X186" s="22"/>
      <c r="Y186" s="522"/>
      <c r="Z186" s="30"/>
      <c r="AA186" s="54"/>
      <c r="AB186" s="524"/>
      <c r="AC186" s="525"/>
      <c r="AD186" s="526"/>
      <c r="AE186" s="527"/>
      <c r="AF186" s="527"/>
      <c r="AG186" s="527"/>
      <c r="AH186" s="528"/>
      <c r="AI186" s="255"/>
      <c r="AJ186" s="709"/>
      <c r="AK186" s="710"/>
      <c r="AL186" s="710"/>
      <c r="AM186" s="710"/>
      <c r="AN186" s="710"/>
      <c r="AO186" s="710"/>
      <c r="AP186" s="710"/>
      <c r="AQ186" s="710"/>
      <c r="AR186" s="710"/>
      <c r="AS186" s="710"/>
      <c r="AT186" s="710"/>
      <c r="AU186" s="710"/>
      <c r="AV186" s="710"/>
      <c r="AW186" s="710"/>
      <c r="AX186" s="710"/>
      <c r="AY186" s="710"/>
      <c r="AZ186" s="710"/>
      <c r="BA186" s="710"/>
      <c r="BB186" s="710"/>
      <c r="BC186" s="710"/>
      <c r="BD186" s="710"/>
      <c r="BE186" s="710"/>
      <c r="BF186" s="710"/>
      <c r="BG186" s="710"/>
      <c r="BH186" s="710"/>
      <c r="BI186" s="710"/>
      <c r="BJ186" s="710"/>
      <c r="BK186" s="710"/>
      <c r="BL186" s="710"/>
      <c r="BM186" s="710"/>
      <c r="BN186" s="710"/>
      <c r="BO186" s="710"/>
      <c r="BP186" s="710"/>
      <c r="BQ186" s="710"/>
      <c r="BR186" s="710"/>
      <c r="BS186" s="710"/>
      <c r="BT186" s="710"/>
      <c r="BU186" s="710"/>
      <c r="BV186" s="710"/>
      <c r="BW186" s="710"/>
      <c r="BX186" s="710"/>
      <c r="BY186" s="710"/>
      <c r="BZ186" s="710"/>
      <c r="CA186" s="710"/>
      <c r="CB186" s="710"/>
      <c r="CC186" s="710"/>
      <c r="CD186" s="710"/>
      <c r="CE186" s="710"/>
      <c r="CF186" s="710"/>
      <c r="CG186" s="710"/>
      <c r="CH186" s="710"/>
      <c r="CI186" s="710"/>
      <c r="CJ186" s="710"/>
      <c r="CK186" s="710"/>
      <c r="CL186" s="710"/>
      <c r="CM186" s="710"/>
      <c r="CN186" s="710"/>
      <c r="CO186" s="710"/>
      <c r="CP186" s="710"/>
      <c r="CQ186" s="710"/>
      <c r="CR186" s="710"/>
      <c r="CS186" s="710"/>
      <c r="CT186" s="710"/>
      <c r="CU186" s="710"/>
      <c r="CV186" s="710"/>
      <c r="CW186" s="710"/>
      <c r="CX186" s="710"/>
      <c r="CY186" s="710"/>
      <c r="CZ186" s="710"/>
      <c r="DA186" s="710"/>
      <c r="DB186" s="710"/>
      <c r="DC186" s="710"/>
      <c r="DD186" s="710"/>
      <c r="DE186" s="710"/>
      <c r="DF186" s="710"/>
      <c r="DG186" s="710"/>
      <c r="DH186" s="710"/>
    </row>
    <row r="187" spans="1:112" s="679" customFormat="1" ht="63">
      <c r="A187" s="535"/>
      <c r="B187" s="697" t="s">
        <v>211</v>
      </c>
      <c r="C187" s="486" t="s">
        <v>69</v>
      </c>
      <c r="D187" s="258" t="s">
        <v>47</v>
      </c>
      <c r="E187" s="282"/>
      <c r="F187" s="698">
        <v>41040</v>
      </c>
      <c r="G187" s="699" t="s">
        <v>92</v>
      </c>
      <c r="H187" s="268" t="s">
        <v>70</v>
      </c>
      <c r="I187" s="599" t="s">
        <v>66</v>
      </c>
      <c r="J187" s="260" t="s">
        <v>72</v>
      </c>
      <c r="K187" s="269"/>
      <c r="L187" s="269"/>
      <c r="M187" s="263">
        <f aca="true" t="shared" si="10" ref="M187:M192">F187-N187</f>
        <v>41040</v>
      </c>
      <c r="N187" s="264">
        <f aca="true" t="shared" si="11" ref="N187:N192">SUM(O187:Z187)</f>
        <v>0</v>
      </c>
      <c r="O187" s="270"/>
      <c r="P187" s="478"/>
      <c r="Q187" s="177"/>
      <c r="R187" s="178"/>
      <c r="S187" s="179"/>
      <c r="T187" s="180"/>
      <c r="U187" s="305"/>
      <c r="V187" s="180"/>
      <c r="W187" s="29"/>
      <c r="X187" s="14"/>
      <c r="Y187" s="29"/>
      <c r="Z187" s="30"/>
      <c r="AA187" s="289"/>
      <c r="AB187" s="290"/>
      <c r="AC187" s="291"/>
      <c r="AD187" s="292"/>
      <c r="AE187" s="293"/>
      <c r="AF187" s="293"/>
      <c r="AG187" s="293"/>
      <c r="AH187" s="294"/>
      <c r="AI187" s="255"/>
      <c r="AJ187" s="677"/>
      <c r="AK187" s="678"/>
      <c r="AL187" s="678"/>
      <c r="AM187" s="678"/>
      <c r="AN187" s="678"/>
      <c r="AO187" s="678"/>
      <c r="AP187" s="678"/>
      <c r="AQ187" s="678"/>
      <c r="AR187" s="678"/>
      <c r="AS187" s="678"/>
      <c r="AT187" s="678"/>
      <c r="AU187" s="678"/>
      <c r="AV187" s="678"/>
      <c r="AW187" s="678"/>
      <c r="AX187" s="678"/>
      <c r="AY187" s="678"/>
      <c r="AZ187" s="678"/>
      <c r="BA187" s="678"/>
      <c r="BB187" s="678"/>
      <c r="BC187" s="678"/>
      <c r="BD187" s="678"/>
      <c r="BE187" s="678"/>
      <c r="BF187" s="678"/>
      <c r="BG187" s="678"/>
      <c r="BH187" s="678"/>
      <c r="BI187" s="678"/>
      <c r="BJ187" s="678"/>
      <c r="BK187" s="678"/>
      <c r="BL187" s="678"/>
      <c r="BM187" s="678"/>
      <c r="BN187" s="678"/>
      <c r="BO187" s="678"/>
      <c r="BP187" s="678"/>
      <c r="BQ187" s="678"/>
      <c r="BR187" s="678"/>
      <c r="BS187" s="678"/>
      <c r="BT187" s="678"/>
      <c r="BU187" s="678"/>
      <c r="BV187" s="678"/>
      <c r="BW187" s="678"/>
      <c r="BX187" s="678"/>
      <c r="BY187" s="678"/>
      <c r="BZ187" s="678"/>
      <c r="CA187" s="678"/>
      <c r="CB187" s="678"/>
      <c r="CC187" s="678"/>
      <c r="CD187" s="678"/>
      <c r="CE187" s="678"/>
      <c r="CF187" s="678"/>
      <c r="CG187" s="678"/>
      <c r="CH187" s="678"/>
      <c r="CI187" s="678"/>
      <c r="CJ187" s="678"/>
      <c r="CK187" s="678"/>
      <c r="CL187" s="678"/>
      <c r="CM187" s="678"/>
      <c r="CN187" s="678"/>
      <c r="CO187" s="678"/>
      <c r="CP187" s="678"/>
      <c r="CQ187" s="678"/>
      <c r="CR187" s="678"/>
      <c r="CS187" s="678"/>
      <c r="CT187" s="678"/>
      <c r="CU187" s="678"/>
      <c r="CV187" s="678"/>
      <c r="CW187" s="678"/>
      <c r="CX187" s="678"/>
      <c r="CY187" s="678"/>
      <c r="CZ187" s="678"/>
      <c r="DA187" s="678"/>
      <c r="DB187" s="678"/>
      <c r="DC187" s="678"/>
      <c r="DD187" s="678"/>
      <c r="DE187" s="678"/>
      <c r="DF187" s="678"/>
      <c r="DG187" s="678"/>
      <c r="DH187" s="678"/>
    </row>
    <row r="188" spans="1:112" s="679" customFormat="1" ht="63">
      <c r="A188" s="535"/>
      <c r="B188" s="712" t="s">
        <v>162</v>
      </c>
      <c r="C188" s="437" t="s">
        <v>69</v>
      </c>
      <c r="D188" s="547" t="s">
        <v>47</v>
      </c>
      <c r="E188" s="713"/>
      <c r="F188" s="714">
        <v>56250</v>
      </c>
      <c r="G188" s="699" t="s">
        <v>92</v>
      </c>
      <c r="H188" s="268" t="s">
        <v>70</v>
      </c>
      <c r="I188" s="599" t="s">
        <v>66</v>
      </c>
      <c r="J188" s="260" t="s">
        <v>72</v>
      </c>
      <c r="K188" s="269"/>
      <c r="L188" s="269"/>
      <c r="M188" s="263">
        <f t="shared" si="10"/>
        <v>56250</v>
      </c>
      <c r="N188" s="264">
        <f t="shared" si="11"/>
        <v>0</v>
      </c>
      <c r="O188" s="270"/>
      <c r="P188" s="478"/>
      <c r="Q188" s="177"/>
      <c r="R188" s="178"/>
      <c r="S188" s="179"/>
      <c r="T188" s="180"/>
      <c r="U188" s="305"/>
      <c r="V188" s="180"/>
      <c r="W188" s="29"/>
      <c r="X188" s="14"/>
      <c r="Y188" s="29"/>
      <c r="Z188" s="30"/>
      <c r="AA188" s="289"/>
      <c r="AB188" s="290"/>
      <c r="AC188" s="291"/>
      <c r="AD188" s="292"/>
      <c r="AE188" s="293"/>
      <c r="AF188" s="293"/>
      <c r="AG188" s="293"/>
      <c r="AH188" s="294"/>
      <c r="AI188" s="255"/>
      <c r="AJ188" s="677"/>
      <c r="AK188" s="678"/>
      <c r="AL188" s="678"/>
      <c r="AM188" s="678"/>
      <c r="AN188" s="678"/>
      <c r="AO188" s="678"/>
      <c r="AP188" s="678"/>
      <c r="AQ188" s="678"/>
      <c r="AR188" s="678"/>
      <c r="AS188" s="678"/>
      <c r="AT188" s="678"/>
      <c r="AU188" s="678"/>
      <c r="AV188" s="678"/>
      <c r="AW188" s="678"/>
      <c r="AX188" s="678"/>
      <c r="AY188" s="678"/>
      <c r="AZ188" s="678"/>
      <c r="BA188" s="678"/>
      <c r="BB188" s="678"/>
      <c r="BC188" s="678"/>
      <c r="BD188" s="678"/>
      <c r="BE188" s="678"/>
      <c r="BF188" s="678"/>
      <c r="BG188" s="678"/>
      <c r="BH188" s="678"/>
      <c r="BI188" s="678"/>
      <c r="BJ188" s="678"/>
      <c r="BK188" s="678"/>
      <c r="BL188" s="678"/>
      <c r="BM188" s="678"/>
      <c r="BN188" s="678"/>
      <c r="BO188" s="678"/>
      <c r="BP188" s="678"/>
      <c r="BQ188" s="678"/>
      <c r="BR188" s="678"/>
      <c r="BS188" s="678"/>
      <c r="BT188" s="678"/>
      <c r="BU188" s="678"/>
      <c r="BV188" s="678"/>
      <c r="BW188" s="678"/>
      <c r="BX188" s="678"/>
      <c r="BY188" s="678"/>
      <c r="BZ188" s="678"/>
      <c r="CA188" s="678"/>
      <c r="CB188" s="678"/>
      <c r="CC188" s="678"/>
      <c r="CD188" s="678"/>
      <c r="CE188" s="678"/>
      <c r="CF188" s="678"/>
      <c r="CG188" s="678"/>
      <c r="CH188" s="678"/>
      <c r="CI188" s="678"/>
      <c r="CJ188" s="678"/>
      <c r="CK188" s="678"/>
      <c r="CL188" s="678"/>
      <c r="CM188" s="678"/>
      <c r="CN188" s="678"/>
      <c r="CO188" s="678"/>
      <c r="CP188" s="678"/>
      <c r="CQ188" s="678"/>
      <c r="CR188" s="678"/>
      <c r="CS188" s="678"/>
      <c r="CT188" s="678"/>
      <c r="CU188" s="678"/>
      <c r="CV188" s="678"/>
      <c r="CW188" s="678"/>
      <c r="CX188" s="678"/>
      <c r="CY188" s="678"/>
      <c r="CZ188" s="678"/>
      <c r="DA188" s="678"/>
      <c r="DB188" s="678"/>
      <c r="DC188" s="678"/>
      <c r="DD188" s="678"/>
      <c r="DE188" s="678"/>
      <c r="DF188" s="678"/>
      <c r="DG188" s="678"/>
      <c r="DH188" s="678"/>
    </row>
    <row r="189" spans="1:112" s="679" customFormat="1" ht="63">
      <c r="A189" s="535"/>
      <c r="B189" s="697" t="s">
        <v>212</v>
      </c>
      <c r="C189" s="437" t="s">
        <v>69</v>
      </c>
      <c r="D189" s="258" t="s">
        <v>47</v>
      </c>
      <c r="E189" s="282"/>
      <c r="F189" s="698">
        <v>80000</v>
      </c>
      <c r="G189" s="699" t="s">
        <v>92</v>
      </c>
      <c r="H189" s="268" t="s">
        <v>70</v>
      </c>
      <c r="I189" s="599" t="s">
        <v>66</v>
      </c>
      <c r="J189" s="260" t="s">
        <v>72</v>
      </c>
      <c r="K189" s="716"/>
      <c r="L189" s="716"/>
      <c r="M189" s="263">
        <f t="shared" si="10"/>
        <v>80000</v>
      </c>
      <c r="N189" s="264">
        <f t="shared" si="11"/>
        <v>0</v>
      </c>
      <c r="O189" s="270"/>
      <c r="P189" s="478"/>
      <c r="Q189" s="177"/>
      <c r="R189" s="178"/>
      <c r="S189" s="179"/>
      <c r="T189" s="180"/>
      <c r="U189" s="305"/>
      <c r="V189" s="180"/>
      <c r="W189" s="29"/>
      <c r="X189" s="14"/>
      <c r="Y189" s="29"/>
      <c r="Z189" s="30"/>
      <c r="AA189" s="289"/>
      <c r="AB189" s="290"/>
      <c r="AC189" s="291"/>
      <c r="AD189" s="292"/>
      <c r="AE189" s="293"/>
      <c r="AF189" s="293"/>
      <c r="AG189" s="293"/>
      <c r="AH189" s="294"/>
      <c r="AI189" s="255"/>
      <c r="AJ189" s="677"/>
      <c r="AK189" s="678"/>
      <c r="AL189" s="678"/>
      <c r="AM189" s="678"/>
      <c r="AN189" s="678"/>
      <c r="AO189" s="678"/>
      <c r="AP189" s="678"/>
      <c r="AQ189" s="678"/>
      <c r="AR189" s="678"/>
      <c r="AS189" s="678"/>
      <c r="AT189" s="678"/>
      <c r="AU189" s="678"/>
      <c r="AV189" s="678"/>
      <c r="AW189" s="678"/>
      <c r="AX189" s="678"/>
      <c r="AY189" s="678"/>
      <c r="AZ189" s="678"/>
      <c r="BA189" s="678"/>
      <c r="BB189" s="678"/>
      <c r="BC189" s="678"/>
      <c r="BD189" s="678"/>
      <c r="BE189" s="678"/>
      <c r="BF189" s="678"/>
      <c r="BG189" s="678"/>
      <c r="BH189" s="678"/>
      <c r="BI189" s="678"/>
      <c r="BJ189" s="678"/>
      <c r="BK189" s="678"/>
      <c r="BL189" s="678"/>
      <c r="BM189" s="678"/>
      <c r="BN189" s="678"/>
      <c r="BO189" s="678"/>
      <c r="BP189" s="678"/>
      <c r="BQ189" s="678"/>
      <c r="BR189" s="678"/>
      <c r="BS189" s="678"/>
      <c r="BT189" s="678"/>
      <c r="BU189" s="678"/>
      <c r="BV189" s="678"/>
      <c r="BW189" s="678"/>
      <c r="BX189" s="678"/>
      <c r="BY189" s="678"/>
      <c r="BZ189" s="678"/>
      <c r="CA189" s="678"/>
      <c r="CB189" s="678"/>
      <c r="CC189" s="678"/>
      <c r="CD189" s="678"/>
      <c r="CE189" s="678"/>
      <c r="CF189" s="678"/>
      <c r="CG189" s="678"/>
      <c r="CH189" s="678"/>
      <c r="CI189" s="678"/>
      <c r="CJ189" s="678"/>
      <c r="CK189" s="678"/>
      <c r="CL189" s="678"/>
      <c r="CM189" s="678"/>
      <c r="CN189" s="678"/>
      <c r="CO189" s="678"/>
      <c r="CP189" s="678"/>
      <c r="CQ189" s="678"/>
      <c r="CR189" s="678"/>
      <c r="CS189" s="678"/>
      <c r="CT189" s="678"/>
      <c r="CU189" s="678"/>
      <c r="CV189" s="678"/>
      <c r="CW189" s="678"/>
      <c r="CX189" s="678"/>
      <c r="CY189" s="678"/>
      <c r="CZ189" s="678"/>
      <c r="DA189" s="678"/>
      <c r="DB189" s="678"/>
      <c r="DC189" s="678"/>
      <c r="DD189" s="678"/>
      <c r="DE189" s="678"/>
      <c r="DF189" s="678"/>
      <c r="DG189" s="678"/>
      <c r="DH189" s="678"/>
    </row>
    <row r="190" spans="1:112" s="679" customFormat="1" ht="63">
      <c r="A190" s="535"/>
      <c r="B190" s="697" t="s">
        <v>213</v>
      </c>
      <c r="C190" s="437" t="s">
        <v>69</v>
      </c>
      <c r="D190" s="258" t="s">
        <v>47</v>
      </c>
      <c r="E190" s="282"/>
      <c r="F190" s="698">
        <v>60100</v>
      </c>
      <c r="G190" s="699" t="s">
        <v>92</v>
      </c>
      <c r="H190" s="268" t="s">
        <v>70</v>
      </c>
      <c r="I190" s="599" t="s">
        <v>66</v>
      </c>
      <c r="J190" s="260" t="s">
        <v>72</v>
      </c>
      <c r="K190" s="716"/>
      <c r="L190" s="716"/>
      <c r="M190" s="263">
        <f t="shared" si="10"/>
        <v>60100</v>
      </c>
      <c r="N190" s="264">
        <f t="shared" si="11"/>
        <v>0</v>
      </c>
      <c r="O190" s="270"/>
      <c r="P190" s="478"/>
      <c r="Q190" s="177"/>
      <c r="R190" s="178"/>
      <c r="S190" s="179"/>
      <c r="T190" s="180"/>
      <c r="U190" s="305"/>
      <c r="V190" s="180"/>
      <c r="W190" s="29"/>
      <c r="X190" s="14"/>
      <c r="Y190" s="29"/>
      <c r="Z190" s="30"/>
      <c r="AA190" s="289"/>
      <c r="AB190" s="290"/>
      <c r="AC190" s="291"/>
      <c r="AD190" s="292"/>
      <c r="AE190" s="293"/>
      <c r="AF190" s="293"/>
      <c r="AG190" s="293"/>
      <c r="AH190" s="294"/>
      <c r="AI190" s="255"/>
      <c r="AJ190" s="677"/>
      <c r="AK190" s="678"/>
      <c r="AL190" s="678"/>
      <c r="AM190" s="678"/>
      <c r="AN190" s="678"/>
      <c r="AO190" s="678"/>
      <c r="AP190" s="678"/>
      <c r="AQ190" s="678"/>
      <c r="AR190" s="678"/>
      <c r="AS190" s="678"/>
      <c r="AT190" s="678"/>
      <c r="AU190" s="678"/>
      <c r="AV190" s="678"/>
      <c r="AW190" s="678"/>
      <c r="AX190" s="678"/>
      <c r="AY190" s="678"/>
      <c r="AZ190" s="678"/>
      <c r="BA190" s="678"/>
      <c r="BB190" s="678"/>
      <c r="BC190" s="678"/>
      <c r="BD190" s="678"/>
      <c r="BE190" s="678"/>
      <c r="BF190" s="678"/>
      <c r="BG190" s="678"/>
      <c r="BH190" s="678"/>
      <c r="BI190" s="678"/>
      <c r="BJ190" s="678"/>
      <c r="BK190" s="678"/>
      <c r="BL190" s="678"/>
      <c r="BM190" s="678"/>
      <c r="BN190" s="678"/>
      <c r="BO190" s="678"/>
      <c r="BP190" s="678"/>
      <c r="BQ190" s="678"/>
      <c r="BR190" s="678"/>
      <c r="BS190" s="678"/>
      <c r="BT190" s="678"/>
      <c r="BU190" s="678"/>
      <c r="BV190" s="678"/>
      <c r="BW190" s="678"/>
      <c r="BX190" s="678"/>
      <c r="BY190" s="678"/>
      <c r="BZ190" s="678"/>
      <c r="CA190" s="678"/>
      <c r="CB190" s="678"/>
      <c r="CC190" s="678"/>
      <c r="CD190" s="678"/>
      <c r="CE190" s="678"/>
      <c r="CF190" s="678"/>
      <c r="CG190" s="678"/>
      <c r="CH190" s="678"/>
      <c r="CI190" s="678"/>
      <c r="CJ190" s="678"/>
      <c r="CK190" s="678"/>
      <c r="CL190" s="678"/>
      <c r="CM190" s="678"/>
      <c r="CN190" s="678"/>
      <c r="CO190" s="678"/>
      <c r="CP190" s="678"/>
      <c r="CQ190" s="678"/>
      <c r="CR190" s="678"/>
      <c r="CS190" s="678"/>
      <c r="CT190" s="678"/>
      <c r="CU190" s="678"/>
      <c r="CV190" s="678"/>
      <c r="CW190" s="678"/>
      <c r="CX190" s="678"/>
      <c r="CY190" s="678"/>
      <c r="CZ190" s="678"/>
      <c r="DA190" s="678"/>
      <c r="DB190" s="678"/>
      <c r="DC190" s="678"/>
      <c r="DD190" s="678"/>
      <c r="DE190" s="678"/>
      <c r="DF190" s="678"/>
      <c r="DG190" s="678"/>
      <c r="DH190" s="678"/>
    </row>
    <row r="191" spans="1:112" s="679" customFormat="1" ht="63">
      <c r="A191" s="535"/>
      <c r="B191" s="697" t="s">
        <v>214</v>
      </c>
      <c r="C191" s="437" t="s">
        <v>69</v>
      </c>
      <c r="D191" s="258" t="s">
        <v>47</v>
      </c>
      <c r="E191" s="282"/>
      <c r="F191" s="698">
        <v>168610</v>
      </c>
      <c r="G191" s="699" t="s">
        <v>92</v>
      </c>
      <c r="H191" s="268" t="s">
        <v>70</v>
      </c>
      <c r="I191" s="599" t="s">
        <v>66</v>
      </c>
      <c r="J191" s="260" t="s">
        <v>72</v>
      </c>
      <c r="K191" s="716"/>
      <c r="L191" s="716"/>
      <c r="M191" s="263">
        <f t="shared" si="10"/>
        <v>168610</v>
      </c>
      <c r="N191" s="264">
        <f t="shared" si="11"/>
        <v>0</v>
      </c>
      <c r="O191" s="270"/>
      <c r="P191" s="478"/>
      <c r="Q191" s="177"/>
      <c r="R191" s="178"/>
      <c r="S191" s="179"/>
      <c r="T191" s="180"/>
      <c r="U191" s="305"/>
      <c r="V191" s="180"/>
      <c r="W191" s="29"/>
      <c r="X191" s="14"/>
      <c r="Y191" s="29"/>
      <c r="Z191" s="30"/>
      <c r="AA191" s="289"/>
      <c r="AB191" s="290"/>
      <c r="AC191" s="291"/>
      <c r="AD191" s="292"/>
      <c r="AE191" s="293"/>
      <c r="AF191" s="293"/>
      <c r="AG191" s="293"/>
      <c r="AH191" s="294"/>
      <c r="AI191" s="255"/>
      <c r="AJ191" s="677"/>
      <c r="AK191" s="678"/>
      <c r="AL191" s="678"/>
      <c r="AM191" s="678"/>
      <c r="AN191" s="678"/>
      <c r="AO191" s="678"/>
      <c r="AP191" s="678"/>
      <c r="AQ191" s="678"/>
      <c r="AR191" s="678"/>
      <c r="AS191" s="678"/>
      <c r="AT191" s="678"/>
      <c r="AU191" s="678"/>
      <c r="AV191" s="678"/>
      <c r="AW191" s="678"/>
      <c r="AX191" s="678"/>
      <c r="AY191" s="678"/>
      <c r="AZ191" s="678"/>
      <c r="BA191" s="678"/>
      <c r="BB191" s="678"/>
      <c r="BC191" s="678"/>
      <c r="BD191" s="678"/>
      <c r="BE191" s="678"/>
      <c r="BF191" s="678"/>
      <c r="BG191" s="678"/>
      <c r="BH191" s="678"/>
      <c r="BI191" s="678"/>
      <c r="BJ191" s="678"/>
      <c r="BK191" s="678"/>
      <c r="BL191" s="678"/>
      <c r="BM191" s="678"/>
      <c r="BN191" s="678"/>
      <c r="BO191" s="678"/>
      <c r="BP191" s="678"/>
      <c r="BQ191" s="678"/>
      <c r="BR191" s="678"/>
      <c r="BS191" s="678"/>
      <c r="BT191" s="678"/>
      <c r="BU191" s="678"/>
      <c r="BV191" s="678"/>
      <c r="BW191" s="678"/>
      <c r="BX191" s="678"/>
      <c r="BY191" s="678"/>
      <c r="BZ191" s="678"/>
      <c r="CA191" s="678"/>
      <c r="CB191" s="678"/>
      <c r="CC191" s="678"/>
      <c r="CD191" s="678"/>
      <c r="CE191" s="678"/>
      <c r="CF191" s="678"/>
      <c r="CG191" s="678"/>
      <c r="CH191" s="678"/>
      <c r="CI191" s="678"/>
      <c r="CJ191" s="678"/>
      <c r="CK191" s="678"/>
      <c r="CL191" s="678"/>
      <c r="CM191" s="678"/>
      <c r="CN191" s="678"/>
      <c r="CO191" s="678"/>
      <c r="CP191" s="678"/>
      <c r="CQ191" s="678"/>
      <c r="CR191" s="678"/>
      <c r="CS191" s="678"/>
      <c r="CT191" s="678"/>
      <c r="CU191" s="678"/>
      <c r="CV191" s="678"/>
      <c r="CW191" s="678"/>
      <c r="CX191" s="678"/>
      <c r="CY191" s="678"/>
      <c r="CZ191" s="678"/>
      <c r="DA191" s="678"/>
      <c r="DB191" s="678"/>
      <c r="DC191" s="678"/>
      <c r="DD191" s="678"/>
      <c r="DE191" s="678"/>
      <c r="DF191" s="678"/>
      <c r="DG191" s="678"/>
      <c r="DH191" s="678"/>
    </row>
    <row r="192" spans="1:112" s="679" customFormat="1" ht="63.75" thickBot="1">
      <c r="A192" s="535"/>
      <c r="B192" s="712" t="s">
        <v>207</v>
      </c>
      <c r="C192" s="437" t="s">
        <v>69</v>
      </c>
      <c r="D192" s="258" t="s">
        <v>47</v>
      </c>
      <c r="E192" s="713"/>
      <c r="F192" s="714">
        <v>48000</v>
      </c>
      <c r="G192" s="717" t="s">
        <v>92</v>
      </c>
      <c r="H192" s="268" t="s">
        <v>70</v>
      </c>
      <c r="I192" s="599" t="s">
        <v>66</v>
      </c>
      <c r="J192" s="260" t="s">
        <v>72</v>
      </c>
      <c r="K192" s="269"/>
      <c r="L192" s="269"/>
      <c r="M192" s="263">
        <f t="shared" si="10"/>
        <v>48000</v>
      </c>
      <c r="N192" s="264">
        <f t="shared" si="11"/>
        <v>0</v>
      </c>
      <c r="O192" s="270"/>
      <c r="P192" s="478"/>
      <c r="Q192" s="177"/>
      <c r="R192" s="178"/>
      <c r="S192" s="179"/>
      <c r="T192" s="180"/>
      <c r="U192" s="305"/>
      <c r="V192" s="180"/>
      <c r="W192" s="29"/>
      <c r="X192" s="14"/>
      <c r="Y192" s="29"/>
      <c r="Z192" s="30"/>
      <c r="AA192" s="289"/>
      <c r="AB192" s="290"/>
      <c r="AC192" s="291"/>
      <c r="AD192" s="292"/>
      <c r="AE192" s="293"/>
      <c r="AF192" s="293"/>
      <c r="AG192" s="293"/>
      <c r="AH192" s="294"/>
      <c r="AI192" s="255"/>
      <c r="AJ192" s="677"/>
      <c r="AK192" s="678"/>
      <c r="AL192" s="678"/>
      <c r="AM192" s="678"/>
      <c r="AN192" s="678"/>
      <c r="AO192" s="678"/>
      <c r="AP192" s="678"/>
      <c r="AQ192" s="678"/>
      <c r="AR192" s="678"/>
      <c r="AS192" s="678"/>
      <c r="AT192" s="678"/>
      <c r="AU192" s="678"/>
      <c r="AV192" s="678"/>
      <c r="AW192" s="678"/>
      <c r="AX192" s="678"/>
      <c r="AY192" s="678"/>
      <c r="AZ192" s="678"/>
      <c r="BA192" s="678"/>
      <c r="BB192" s="678"/>
      <c r="BC192" s="678"/>
      <c r="BD192" s="678"/>
      <c r="BE192" s="678"/>
      <c r="BF192" s="678"/>
      <c r="BG192" s="678"/>
      <c r="BH192" s="678"/>
      <c r="BI192" s="678"/>
      <c r="BJ192" s="678"/>
      <c r="BK192" s="678"/>
      <c r="BL192" s="678"/>
      <c r="BM192" s="678"/>
      <c r="BN192" s="678"/>
      <c r="BO192" s="678"/>
      <c r="BP192" s="678"/>
      <c r="BQ192" s="678"/>
      <c r="BR192" s="678"/>
      <c r="BS192" s="678"/>
      <c r="BT192" s="678"/>
      <c r="BU192" s="678"/>
      <c r="BV192" s="678"/>
      <c r="BW192" s="678"/>
      <c r="BX192" s="678"/>
      <c r="BY192" s="678"/>
      <c r="BZ192" s="678"/>
      <c r="CA192" s="678"/>
      <c r="CB192" s="678"/>
      <c r="CC192" s="678"/>
      <c r="CD192" s="678"/>
      <c r="CE192" s="678"/>
      <c r="CF192" s="678"/>
      <c r="CG192" s="678"/>
      <c r="CH192" s="678"/>
      <c r="CI192" s="678"/>
      <c r="CJ192" s="678"/>
      <c r="CK192" s="678"/>
      <c r="CL192" s="678"/>
      <c r="CM192" s="678"/>
      <c r="CN192" s="678"/>
      <c r="CO192" s="678"/>
      <c r="CP192" s="678"/>
      <c r="CQ192" s="678"/>
      <c r="CR192" s="678"/>
      <c r="CS192" s="678"/>
      <c r="CT192" s="678"/>
      <c r="CU192" s="678"/>
      <c r="CV192" s="678"/>
      <c r="CW192" s="678"/>
      <c r="CX192" s="678"/>
      <c r="CY192" s="678"/>
      <c r="CZ192" s="678"/>
      <c r="DA192" s="678"/>
      <c r="DB192" s="678"/>
      <c r="DC192" s="678"/>
      <c r="DD192" s="678"/>
      <c r="DE192" s="678"/>
      <c r="DF192" s="678"/>
      <c r="DG192" s="678"/>
      <c r="DH192" s="678"/>
    </row>
    <row r="193" spans="1:112" s="690" customFormat="1" ht="28.5" customHeight="1" thickBot="1">
      <c r="A193" s="470" t="s">
        <v>215</v>
      </c>
      <c r="B193" s="345" t="s">
        <v>216</v>
      </c>
      <c r="C193" s="346"/>
      <c r="D193" s="347" t="s">
        <v>47</v>
      </c>
      <c r="E193" s="348">
        <f>SUM(E194:E202)</f>
        <v>2.81</v>
      </c>
      <c r="F193" s="718">
        <f>SUM(F194:F202)</f>
        <v>356150</v>
      </c>
      <c r="G193" s="718"/>
      <c r="H193" s="718"/>
      <c r="I193" s="718"/>
      <c r="J193" s="718"/>
      <c r="K193" s="719"/>
      <c r="L193" s="719"/>
      <c r="M193" s="263"/>
      <c r="N193" s="264">
        <f t="shared" si="9"/>
        <v>0</v>
      </c>
      <c r="O193" s="351"/>
      <c r="P193" s="503"/>
      <c r="Q193" s="226"/>
      <c r="R193" s="227"/>
      <c r="S193" s="228"/>
      <c r="T193" s="229"/>
      <c r="U193" s="426"/>
      <c r="V193" s="229"/>
      <c r="W193" s="232"/>
      <c r="X193" s="233"/>
      <c r="Y193" s="232"/>
      <c r="Z193" s="234"/>
      <c r="AA193" s="352">
        <f>F195+F196+F197+F198</f>
        <v>356150</v>
      </c>
      <c r="AB193" s="236">
        <v>0</v>
      </c>
      <c r="AC193" s="353"/>
      <c r="AD193" s="354"/>
      <c r="AE193" s="355"/>
      <c r="AF193" s="355"/>
      <c r="AG193" s="355"/>
      <c r="AH193" s="356"/>
      <c r="AI193" s="239" t="str">
        <f>IF(F193=AA193+AB193+AC193+AD193+AH193,"ОК")</f>
        <v>ОК</v>
      </c>
      <c r="AJ193" s="688">
        <f>1025900-189000+296513.23</f>
        <v>1133413.23</v>
      </c>
      <c r="AK193" s="689"/>
      <c r="AL193" s="689"/>
      <c r="AM193" s="689"/>
      <c r="AN193" s="689"/>
      <c r="AO193" s="689"/>
      <c r="AP193" s="689"/>
      <c r="AQ193" s="689"/>
      <c r="AR193" s="689"/>
      <c r="AS193" s="689"/>
      <c r="AT193" s="689"/>
      <c r="AU193" s="689"/>
      <c r="AV193" s="689"/>
      <c r="AW193" s="689"/>
      <c r="AX193" s="689"/>
      <c r="AY193" s="689"/>
      <c r="AZ193" s="689"/>
      <c r="BA193" s="689"/>
      <c r="BB193" s="689"/>
      <c r="BC193" s="689"/>
      <c r="BD193" s="689"/>
      <c r="BE193" s="689"/>
      <c r="BF193" s="689"/>
      <c r="BG193" s="689"/>
      <c r="BH193" s="689"/>
      <c r="BI193" s="689"/>
      <c r="BJ193" s="689"/>
      <c r="BK193" s="689"/>
      <c r="BL193" s="689"/>
      <c r="BM193" s="689"/>
      <c r="BN193" s="689"/>
      <c r="BO193" s="689"/>
      <c r="BP193" s="689"/>
      <c r="BQ193" s="689"/>
      <c r="BR193" s="689"/>
      <c r="BS193" s="689"/>
      <c r="BT193" s="689"/>
      <c r="BU193" s="689"/>
      <c r="BV193" s="689"/>
      <c r="BW193" s="689"/>
      <c r="BX193" s="689"/>
      <c r="BY193" s="689"/>
      <c r="BZ193" s="689"/>
      <c r="CA193" s="689"/>
      <c r="CB193" s="689"/>
      <c r="CC193" s="689"/>
      <c r="CD193" s="689"/>
      <c r="CE193" s="689"/>
      <c r="CF193" s="689"/>
      <c r="CG193" s="689"/>
      <c r="CH193" s="689"/>
      <c r="CI193" s="689"/>
      <c r="CJ193" s="689"/>
      <c r="CK193" s="689"/>
      <c r="CL193" s="689"/>
      <c r="CM193" s="689"/>
      <c r="CN193" s="689"/>
      <c r="CO193" s="689"/>
      <c r="CP193" s="689"/>
      <c r="CQ193" s="689"/>
      <c r="CR193" s="689"/>
      <c r="CS193" s="689"/>
      <c r="CT193" s="689"/>
      <c r="CU193" s="689"/>
      <c r="CV193" s="689"/>
      <c r="CW193" s="689"/>
      <c r="CX193" s="689"/>
      <c r="CY193" s="689"/>
      <c r="CZ193" s="689"/>
      <c r="DA193" s="689"/>
      <c r="DB193" s="689"/>
      <c r="DC193" s="689"/>
      <c r="DD193" s="689"/>
      <c r="DE193" s="689"/>
      <c r="DF193" s="689"/>
      <c r="DG193" s="689"/>
      <c r="DH193" s="689"/>
    </row>
    <row r="194" spans="1:112" s="679" customFormat="1" ht="15.75">
      <c r="A194" s="720"/>
      <c r="B194" s="357" t="s">
        <v>217</v>
      </c>
      <c r="C194" s="374"/>
      <c r="D194" s="359"/>
      <c r="E194" s="360"/>
      <c r="F194" s="721"/>
      <c r="G194" s="721"/>
      <c r="H194" s="721"/>
      <c r="I194" s="721"/>
      <c r="J194" s="721"/>
      <c r="K194" s="246"/>
      <c r="L194" s="246"/>
      <c r="M194" s="263"/>
      <c r="N194" s="264"/>
      <c r="O194" s="270"/>
      <c r="P194" s="478"/>
      <c r="Q194" s="177"/>
      <c r="R194" s="178"/>
      <c r="S194" s="179"/>
      <c r="T194" s="180"/>
      <c r="U194" s="305"/>
      <c r="V194" s="180"/>
      <c r="W194" s="29"/>
      <c r="X194" s="14"/>
      <c r="Y194" s="29"/>
      <c r="Z194" s="30"/>
      <c r="AA194" s="289"/>
      <c r="AB194" s="252"/>
      <c r="AC194" s="291"/>
      <c r="AD194" s="292"/>
      <c r="AE194" s="293"/>
      <c r="AF194" s="293"/>
      <c r="AG194" s="293"/>
      <c r="AH194" s="294"/>
      <c r="AI194" s="255"/>
      <c r="AJ194" s="677"/>
      <c r="AK194" s="678"/>
      <c r="AL194" s="678"/>
      <c r="AM194" s="678"/>
      <c r="AN194" s="678"/>
      <c r="AO194" s="678"/>
      <c r="AP194" s="678"/>
      <c r="AQ194" s="678"/>
      <c r="AR194" s="678"/>
      <c r="AS194" s="678"/>
      <c r="AT194" s="678"/>
      <c r="AU194" s="678"/>
      <c r="AV194" s="678"/>
      <c r="AW194" s="678"/>
      <c r="AX194" s="678"/>
      <c r="AY194" s="678"/>
      <c r="AZ194" s="678"/>
      <c r="BA194" s="678"/>
      <c r="BB194" s="678"/>
      <c r="BC194" s="678"/>
      <c r="BD194" s="678"/>
      <c r="BE194" s="678"/>
      <c r="BF194" s="678"/>
      <c r="BG194" s="678"/>
      <c r="BH194" s="678"/>
      <c r="BI194" s="678"/>
      <c r="BJ194" s="678"/>
      <c r="BK194" s="678"/>
      <c r="BL194" s="678"/>
      <c r="BM194" s="678"/>
      <c r="BN194" s="678"/>
      <c r="BO194" s="678"/>
      <c r="BP194" s="678"/>
      <c r="BQ194" s="678"/>
      <c r="BR194" s="678"/>
      <c r="BS194" s="678"/>
      <c r="BT194" s="678"/>
      <c r="BU194" s="678"/>
      <c r="BV194" s="678"/>
      <c r="BW194" s="678"/>
      <c r="BX194" s="678"/>
      <c r="BY194" s="678"/>
      <c r="BZ194" s="678"/>
      <c r="CA194" s="678"/>
      <c r="CB194" s="678"/>
      <c r="CC194" s="678"/>
      <c r="CD194" s="678"/>
      <c r="CE194" s="678"/>
      <c r="CF194" s="678"/>
      <c r="CG194" s="678"/>
      <c r="CH194" s="678"/>
      <c r="CI194" s="678"/>
      <c r="CJ194" s="678"/>
      <c r="CK194" s="678"/>
      <c r="CL194" s="678"/>
      <c r="CM194" s="678"/>
      <c r="CN194" s="678"/>
      <c r="CO194" s="678"/>
      <c r="CP194" s="678"/>
      <c r="CQ194" s="678"/>
      <c r="CR194" s="678"/>
      <c r="CS194" s="678"/>
      <c r="CT194" s="678"/>
      <c r="CU194" s="678"/>
      <c r="CV194" s="678"/>
      <c r="CW194" s="678"/>
      <c r="CX194" s="678"/>
      <c r="CY194" s="678"/>
      <c r="CZ194" s="678"/>
      <c r="DA194" s="678"/>
      <c r="DB194" s="678"/>
      <c r="DC194" s="678"/>
      <c r="DD194" s="678"/>
      <c r="DE194" s="678"/>
      <c r="DF194" s="678"/>
      <c r="DG194" s="678"/>
      <c r="DH194" s="678"/>
    </row>
    <row r="195" spans="1:112" s="679" customFormat="1" ht="63">
      <c r="A195" s="720"/>
      <c r="B195" s="256" t="s">
        <v>218</v>
      </c>
      <c r="C195" s="242" t="s">
        <v>219</v>
      </c>
      <c r="D195" s="258" t="s">
        <v>47</v>
      </c>
      <c r="E195" s="259">
        <v>1.5</v>
      </c>
      <c r="F195" s="260">
        <v>150000</v>
      </c>
      <c r="G195" s="261">
        <v>2024</v>
      </c>
      <c r="H195" s="261">
        <v>2024</v>
      </c>
      <c r="I195" s="599" t="s">
        <v>66</v>
      </c>
      <c r="J195" s="260"/>
      <c r="K195" s="262"/>
      <c r="L195" s="262"/>
      <c r="M195" s="263">
        <f aca="true" t="shared" si="12" ref="M195:M202">F195-N195</f>
        <v>150000</v>
      </c>
      <c r="N195" s="264">
        <f t="shared" si="9"/>
        <v>0</v>
      </c>
      <c r="O195" s="270"/>
      <c r="P195" s="478"/>
      <c r="Q195" s="177"/>
      <c r="R195" s="178"/>
      <c r="S195" s="179"/>
      <c r="T195" s="180"/>
      <c r="U195" s="305"/>
      <c r="V195" s="180"/>
      <c r="W195" s="29"/>
      <c r="X195" s="14"/>
      <c r="Y195" s="29"/>
      <c r="Z195" s="30"/>
      <c r="AA195" s="289"/>
      <c r="AB195" s="252"/>
      <c r="AC195" s="291"/>
      <c r="AD195" s="292"/>
      <c r="AE195" s="293"/>
      <c r="AF195" s="293"/>
      <c r="AG195" s="293"/>
      <c r="AH195" s="294"/>
      <c r="AI195" s="255"/>
      <c r="AJ195" s="677"/>
      <c r="AK195" s="678"/>
      <c r="AL195" s="678"/>
      <c r="AM195" s="678"/>
      <c r="AN195" s="678"/>
      <c r="AO195" s="678"/>
      <c r="AP195" s="678"/>
      <c r="AQ195" s="678"/>
      <c r="AR195" s="678"/>
      <c r="AS195" s="678"/>
      <c r="AT195" s="678"/>
      <c r="AU195" s="678"/>
      <c r="AV195" s="678"/>
      <c r="AW195" s="678"/>
      <c r="AX195" s="678"/>
      <c r="AY195" s="678"/>
      <c r="AZ195" s="678"/>
      <c r="BA195" s="678"/>
      <c r="BB195" s="678"/>
      <c r="BC195" s="678"/>
      <c r="BD195" s="678"/>
      <c r="BE195" s="678"/>
      <c r="BF195" s="678"/>
      <c r="BG195" s="678"/>
      <c r="BH195" s="678"/>
      <c r="BI195" s="678"/>
      <c r="BJ195" s="678"/>
      <c r="BK195" s="678"/>
      <c r="BL195" s="678"/>
      <c r="BM195" s="678"/>
      <c r="BN195" s="678"/>
      <c r="BO195" s="678"/>
      <c r="BP195" s="678"/>
      <c r="BQ195" s="678"/>
      <c r="BR195" s="678"/>
      <c r="BS195" s="678"/>
      <c r="BT195" s="678"/>
      <c r="BU195" s="678"/>
      <c r="BV195" s="678"/>
      <c r="BW195" s="678"/>
      <c r="BX195" s="678"/>
      <c r="BY195" s="678"/>
      <c r="BZ195" s="678"/>
      <c r="CA195" s="678"/>
      <c r="CB195" s="678"/>
      <c r="CC195" s="678"/>
      <c r="CD195" s="678"/>
      <c r="CE195" s="678"/>
      <c r="CF195" s="678"/>
      <c r="CG195" s="678"/>
      <c r="CH195" s="678"/>
      <c r="CI195" s="678"/>
      <c r="CJ195" s="678"/>
      <c r="CK195" s="678"/>
      <c r="CL195" s="678"/>
      <c r="CM195" s="678"/>
      <c r="CN195" s="678"/>
      <c r="CO195" s="678"/>
      <c r="CP195" s="678"/>
      <c r="CQ195" s="678"/>
      <c r="CR195" s="678"/>
      <c r="CS195" s="678"/>
      <c r="CT195" s="678"/>
      <c r="CU195" s="678"/>
      <c r="CV195" s="678"/>
      <c r="CW195" s="678"/>
      <c r="CX195" s="678"/>
      <c r="CY195" s="678"/>
      <c r="CZ195" s="678"/>
      <c r="DA195" s="678"/>
      <c r="DB195" s="678"/>
      <c r="DC195" s="678"/>
      <c r="DD195" s="678"/>
      <c r="DE195" s="678"/>
      <c r="DF195" s="678"/>
      <c r="DG195" s="678"/>
      <c r="DH195" s="678"/>
    </row>
    <row r="196" spans="1:112" s="679" customFormat="1" ht="44.25" customHeight="1">
      <c r="A196" s="720"/>
      <c r="B196" s="393" t="s">
        <v>220</v>
      </c>
      <c r="C196" s="486" t="s">
        <v>199</v>
      </c>
      <c r="D196" s="258" t="s">
        <v>47</v>
      </c>
      <c r="E196" s="259">
        <v>0.61</v>
      </c>
      <c r="F196" s="260">
        <v>92720</v>
      </c>
      <c r="G196" s="260" t="s">
        <v>70</v>
      </c>
      <c r="H196" s="260" t="s">
        <v>71</v>
      </c>
      <c r="I196" s="599" t="s">
        <v>66</v>
      </c>
      <c r="J196" s="260" t="s">
        <v>72</v>
      </c>
      <c r="K196" s="262"/>
      <c r="L196" s="262"/>
      <c r="M196" s="263">
        <f t="shared" si="12"/>
        <v>92720</v>
      </c>
      <c r="N196" s="264">
        <f t="shared" si="9"/>
        <v>0</v>
      </c>
      <c r="O196" s="270"/>
      <c r="P196" s="478"/>
      <c r="Q196" s="177"/>
      <c r="R196" s="178"/>
      <c r="S196" s="179"/>
      <c r="T196" s="180"/>
      <c r="U196" s="305"/>
      <c r="V196" s="180"/>
      <c r="W196" s="29"/>
      <c r="X196" s="14"/>
      <c r="Y196" s="29"/>
      <c r="Z196" s="30"/>
      <c r="AA196" s="289"/>
      <c r="AB196" s="252"/>
      <c r="AC196" s="291"/>
      <c r="AD196" s="292"/>
      <c r="AE196" s="293"/>
      <c r="AF196" s="293"/>
      <c r="AG196" s="293"/>
      <c r="AH196" s="294"/>
      <c r="AI196" s="255"/>
      <c r="AJ196" s="677"/>
      <c r="AK196" s="678"/>
      <c r="AL196" s="678"/>
      <c r="AM196" s="678"/>
      <c r="AN196" s="678"/>
      <c r="AO196" s="678"/>
      <c r="AP196" s="678"/>
      <c r="AQ196" s="678"/>
      <c r="AR196" s="678"/>
      <c r="AS196" s="678"/>
      <c r="AT196" s="678"/>
      <c r="AU196" s="678"/>
      <c r="AV196" s="678"/>
      <c r="AW196" s="678"/>
      <c r="AX196" s="678"/>
      <c r="AY196" s="678"/>
      <c r="AZ196" s="678"/>
      <c r="BA196" s="678"/>
      <c r="BB196" s="678"/>
      <c r="BC196" s="678"/>
      <c r="BD196" s="678"/>
      <c r="BE196" s="678"/>
      <c r="BF196" s="678"/>
      <c r="BG196" s="678"/>
      <c r="BH196" s="678"/>
      <c r="BI196" s="678"/>
      <c r="BJ196" s="678"/>
      <c r="BK196" s="678"/>
      <c r="BL196" s="678"/>
      <c r="BM196" s="678"/>
      <c r="BN196" s="678"/>
      <c r="BO196" s="678"/>
      <c r="BP196" s="678"/>
      <c r="BQ196" s="678"/>
      <c r="BR196" s="678"/>
      <c r="BS196" s="678"/>
      <c r="BT196" s="678"/>
      <c r="BU196" s="678"/>
      <c r="BV196" s="678"/>
      <c r="BW196" s="678"/>
      <c r="BX196" s="678"/>
      <c r="BY196" s="678"/>
      <c r="BZ196" s="678"/>
      <c r="CA196" s="678"/>
      <c r="CB196" s="678"/>
      <c r="CC196" s="678"/>
      <c r="CD196" s="678"/>
      <c r="CE196" s="678"/>
      <c r="CF196" s="678"/>
      <c r="CG196" s="678"/>
      <c r="CH196" s="678"/>
      <c r="CI196" s="678"/>
      <c r="CJ196" s="678"/>
      <c r="CK196" s="678"/>
      <c r="CL196" s="678"/>
      <c r="CM196" s="678"/>
      <c r="CN196" s="678"/>
      <c r="CO196" s="678"/>
      <c r="CP196" s="678"/>
      <c r="CQ196" s="678"/>
      <c r="CR196" s="678"/>
      <c r="CS196" s="678"/>
      <c r="CT196" s="678"/>
      <c r="CU196" s="678"/>
      <c r="CV196" s="678"/>
      <c r="CW196" s="678"/>
      <c r="CX196" s="678"/>
      <c r="CY196" s="678"/>
      <c r="CZ196" s="678"/>
      <c r="DA196" s="678"/>
      <c r="DB196" s="678"/>
      <c r="DC196" s="678"/>
      <c r="DD196" s="678"/>
      <c r="DE196" s="678"/>
      <c r="DF196" s="678"/>
      <c r="DG196" s="678"/>
      <c r="DH196" s="678"/>
    </row>
    <row r="197" spans="1:112" s="679" customFormat="1" ht="63">
      <c r="A197" s="720"/>
      <c r="B197" s="256" t="s">
        <v>123</v>
      </c>
      <c r="C197" s="486" t="s">
        <v>199</v>
      </c>
      <c r="D197" s="258" t="s">
        <v>47</v>
      </c>
      <c r="E197" s="259">
        <v>0.37</v>
      </c>
      <c r="F197" s="260">
        <v>63270</v>
      </c>
      <c r="G197" s="260" t="s">
        <v>70</v>
      </c>
      <c r="H197" s="260" t="s">
        <v>71</v>
      </c>
      <c r="I197" s="599" t="s">
        <v>66</v>
      </c>
      <c r="J197" s="260" t="s">
        <v>72</v>
      </c>
      <c r="K197" s="262"/>
      <c r="L197" s="262"/>
      <c r="M197" s="263">
        <f t="shared" si="12"/>
        <v>63270</v>
      </c>
      <c r="N197" s="264">
        <f t="shared" si="9"/>
        <v>0</v>
      </c>
      <c r="O197" s="270"/>
      <c r="P197" s="478"/>
      <c r="Q197" s="177"/>
      <c r="R197" s="178"/>
      <c r="S197" s="179"/>
      <c r="T197" s="180"/>
      <c r="U197" s="305"/>
      <c r="V197" s="180"/>
      <c r="W197" s="29"/>
      <c r="X197" s="14"/>
      <c r="Y197" s="29"/>
      <c r="Z197" s="30"/>
      <c r="AA197" s="289"/>
      <c r="AB197" s="252"/>
      <c r="AC197" s="291"/>
      <c r="AD197" s="292"/>
      <c r="AE197" s="293"/>
      <c r="AF197" s="293"/>
      <c r="AG197" s="293"/>
      <c r="AH197" s="294"/>
      <c r="AI197" s="255"/>
      <c r="AJ197" s="677"/>
      <c r="AK197" s="678"/>
      <c r="AL197" s="678"/>
      <c r="AM197" s="678"/>
      <c r="AN197" s="678"/>
      <c r="AO197" s="678"/>
      <c r="AP197" s="678"/>
      <c r="AQ197" s="678"/>
      <c r="AR197" s="678"/>
      <c r="AS197" s="678"/>
      <c r="AT197" s="678"/>
      <c r="AU197" s="678"/>
      <c r="AV197" s="678"/>
      <c r="AW197" s="678"/>
      <c r="AX197" s="678"/>
      <c r="AY197" s="678"/>
      <c r="AZ197" s="678"/>
      <c r="BA197" s="678"/>
      <c r="BB197" s="678"/>
      <c r="BC197" s="678"/>
      <c r="BD197" s="678"/>
      <c r="BE197" s="678"/>
      <c r="BF197" s="678"/>
      <c r="BG197" s="678"/>
      <c r="BH197" s="678"/>
      <c r="BI197" s="678"/>
      <c r="BJ197" s="678"/>
      <c r="BK197" s="678"/>
      <c r="BL197" s="678"/>
      <c r="BM197" s="678"/>
      <c r="BN197" s="678"/>
      <c r="BO197" s="678"/>
      <c r="BP197" s="678"/>
      <c r="BQ197" s="678"/>
      <c r="BR197" s="678"/>
      <c r="BS197" s="678"/>
      <c r="BT197" s="678"/>
      <c r="BU197" s="678"/>
      <c r="BV197" s="678"/>
      <c r="BW197" s="678"/>
      <c r="BX197" s="678"/>
      <c r="BY197" s="678"/>
      <c r="BZ197" s="678"/>
      <c r="CA197" s="678"/>
      <c r="CB197" s="678"/>
      <c r="CC197" s="678"/>
      <c r="CD197" s="678"/>
      <c r="CE197" s="678"/>
      <c r="CF197" s="678"/>
      <c r="CG197" s="678"/>
      <c r="CH197" s="678"/>
      <c r="CI197" s="678"/>
      <c r="CJ197" s="678"/>
      <c r="CK197" s="678"/>
      <c r="CL197" s="678"/>
      <c r="CM197" s="678"/>
      <c r="CN197" s="678"/>
      <c r="CO197" s="678"/>
      <c r="CP197" s="678"/>
      <c r="CQ197" s="678"/>
      <c r="CR197" s="678"/>
      <c r="CS197" s="678"/>
      <c r="CT197" s="678"/>
      <c r="CU197" s="678"/>
      <c r="CV197" s="678"/>
      <c r="CW197" s="678"/>
      <c r="CX197" s="678"/>
      <c r="CY197" s="678"/>
      <c r="CZ197" s="678"/>
      <c r="DA197" s="678"/>
      <c r="DB197" s="678"/>
      <c r="DC197" s="678"/>
      <c r="DD197" s="678"/>
      <c r="DE197" s="678"/>
      <c r="DF197" s="678"/>
      <c r="DG197" s="678"/>
      <c r="DH197" s="678"/>
    </row>
    <row r="198" spans="1:112" s="679" customFormat="1" ht="63.75" thickBot="1">
      <c r="A198" s="720"/>
      <c r="B198" s="256" t="s">
        <v>193</v>
      </c>
      <c r="C198" s="437" t="s">
        <v>199</v>
      </c>
      <c r="D198" s="258" t="s">
        <v>47</v>
      </c>
      <c r="E198" s="259">
        <v>0.33</v>
      </c>
      <c r="F198" s="260">
        <v>50160</v>
      </c>
      <c r="G198" s="260" t="s">
        <v>70</v>
      </c>
      <c r="H198" s="260" t="s">
        <v>71</v>
      </c>
      <c r="I198" s="599" t="s">
        <v>66</v>
      </c>
      <c r="J198" s="260" t="s">
        <v>72</v>
      </c>
      <c r="K198" s="262"/>
      <c r="L198" s="262"/>
      <c r="M198" s="263">
        <f t="shared" si="12"/>
        <v>50160</v>
      </c>
      <c r="N198" s="264">
        <f t="shared" si="9"/>
        <v>0</v>
      </c>
      <c r="O198" s="270"/>
      <c r="P198" s="478"/>
      <c r="Q198" s="177"/>
      <c r="R198" s="178"/>
      <c r="S198" s="179"/>
      <c r="T198" s="180"/>
      <c r="U198" s="305"/>
      <c r="V198" s="180"/>
      <c r="W198" s="29"/>
      <c r="X198" s="14"/>
      <c r="Y198" s="29"/>
      <c r="Z198" s="30"/>
      <c r="AA198" s="289"/>
      <c r="AB198" s="252"/>
      <c r="AC198" s="291"/>
      <c r="AD198" s="292"/>
      <c r="AE198" s="293"/>
      <c r="AF198" s="293"/>
      <c r="AG198" s="293"/>
      <c r="AH198" s="294"/>
      <c r="AI198" s="255"/>
      <c r="AJ198" s="677"/>
      <c r="AK198" s="678"/>
      <c r="AL198" s="678"/>
      <c r="AM198" s="678"/>
      <c r="AN198" s="678"/>
      <c r="AO198" s="678"/>
      <c r="AP198" s="678"/>
      <c r="AQ198" s="678"/>
      <c r="AR198" s="678"/>
      <c r="AS198" s="678"/>
      <c r="AT198" s="678"/>
      <c r="AU198" s="678"/>
      <c r="AV198" s="678"/>
      <c r="AW198" s="678"/>
      <c r="AX198" s="678"/>
      <c r="AY198" s="678"/>
      <c r="AZ198" s="678"/>
      <c r="BA198" s="678"/>
      <c r="BB198" s="678"/>
      <c r="BC198" s="678"/>
      <c r="BD198" s="678"/>
      <c r="BE198" s="678"/>
      <c r="BF198" s="678"/>
      <c r="BG198" s="678"/>
      <c r="BH198" s="678"/>
      <c r="BI198" s="678"/>
      <c r="BJ198" s="678"/>
      <c r="BK198" s="678"/>
      <c r="BL198" s="678"/>
      <c r="BM198" s="678"/>
      <c r="BN198" s="678"/>
      <c r="BO198" s="678"/>
      <c r="BP198" s="678"/>
      <c r="BQ198" s="678"/>
      <c r="BR198" s="678"/>
      <c r="BS198" s="678"/>
      <c r="BT198" s="678"/>
      <c r="BU198" s="678"/>
      <c r="BV198" s="678"/>
      <c r="BW198" s="678"/>
      <c r="BX198" s="678"/>
      <c r="BY198" s="678"/>
      <c r="BZ198" s="678"/>
      <c r="CA198" s="678"/>
      <c r="CB198" s="678"/>
      <c r="CC198" s="678"/>
      <c r="CD198" s="678"/>
      <c r="CE198" s="678"/>
      <c r="CF198" s="678"/>
      <c r="CG198" s="678"/>
      <c r="CH198" s="678"/>
      <c r="CI198" s="678"/>
      <c r="CJ198" s="678"/>
      <c r="CK198" s="678"/>
      <c r="CL198" s="678"/>
      <c r="CM198" s="678"/>
      <c r="CN198" s="678"/>
      <c r="CO198" s="678"/>
      <c r="CP198" s="678"/>
      <c r="CQ198" s="678"/>
      <c r="CR198" s="678"/>
      <c r="CS198" s="678"/>
      <c r="CT198" s="678"/>
      <c r="CU198" s="678"/>
      <c r="CV198" s="678"/>
      <c r="CW198" s="678"/>
      <c r="CX198" s="678"/>
      <c r="CY198" s="678"/>
      <c r="CZ198" s="678"/>
      <c r="DA198" s="678"/>
      <c r="DB198" s="678"/>
      <c r="DC198" s="678"/>
      <c r="DD198" s="678"/>
      <c r="DE198" s="678"/>
      <c r="DF198" s="678"/>
      <c r="DG198" s="678"/>
      <c r="DH198" s="678"/>
    </row>
    <row r="199" spans="1:112" s="734" customFormat="1" ht="16.5" hidden="1" thickBot="1">
      <c r="A199" s="722"/>
      <c r="B199" s="333"/>
      <c r="C199" s="723"/>
      <c r="D199" s="326"/>
      <c r="E199" s="327"/>
      <c r="F199" s="724"/>
      <c r="G199" s="724"/>
      <c r="H199" s="724"/>
      <c r="I199" s="724"/>
      <c r="J199" s="724"/>
      <c r="K199" s="725"/>
      <c r="L199" s="725"/>
      <c r="M199" s="263">
        <f t="shared" si="12"/>
        <v>0</v>
      </c>
      <c r="N199" s="264">
        <f t="shared" si="9"/>
        <v>0</v>
      </c>
      <c r="O199" s="726"/>
      <c r="P199" s="727"/>
      <c r="Q199" s="728"/>
      <c r="R199" s="729"/>
      <c r="S199" s="730"/>
      <c r="T199" s="402"/>
      <c r="U199" s="401"/>
      <c r="V199" s="402"/>
      <c r="W199" s="403"/>
      <c r="X199" s="404"/>
      <c r="Y199" s="403"/>
      <c r="Z199" s="405"/>
      <c r="AA199" s="406"/>
      <c r="AB199" s="731"/>
      <c r="AC199" s="408"/>
      <c r="AD199" s="409"/>
      <c r="AE199" s="410"/>
      <c r="AF199" s="410"/>
      <c r="AG199" s="410"/>
      <c r="AH199" s="411"/>
      <c r="AI199" s="412"/>
      <c r="AJ199" s="732"/>
      <c r="AK199" s="733"/>
      <c r="AL199" s="733"/>
      <c r="AM199" s="733"/>
      <c r="AN199" s="733"/>
      <c r="AO199" s="733"/>
      <c r="AP199" s="733"/>
      <c r="AQ199" s="733"/>
      <c r="AR199" s="733"/>
      <c r="AS199" s="733"/>
      <c r="AT199" s="733"/>
      <c r="AU199" s="733"/>
      <c r="AV199" s="733"/>
      <c r="AW199" s="733"/>
      <c r="AX199" s="733"/>
      <c r="AY199" s="733"/>
      <c r="AZ199" s="733"/>
      <c r="BA199" s="733"/>
      <c r="BB199" s="733"/>
      <c r="BC199" s="733"/>
      <c r="BD199" s="733"/>
      <c r="BE199" s="733"/>
      <c r="BF199" s="733"/>
      <c r="BG199" s="733"/>
      <c r="BH199" s="733"/>
      <c r="BI199" s="733"/>
      <c r="BJ199" s="733"/>
      <c r="BK199" s="733"/>
      <c r="BL199" s="733"/>
      <c r="BM199" s="733"/>
      <c r="BN199" s="733"/>
      <c r="BO199" s="733"/>
      <c r="BP199" s="733"/>
      <c r="BQ199" s="733"/>
      <c r="BR199" s="733"/>
      <c r="BS199" s="733"/>
      <c r="BT199" s="733"/>
      <c r="BU199" s="733"/>
      <c r="BV199" s="733"/>
      <c r="BW199" s="733"/>
      <c r="BX199" s="733"/>
      <c r="BY199" s="733"/>
      <c r="BZ199" s="733"/>
      <c r="CA199" s="733"/>
      <c r="CB199" s="733"/>
      <c r="CC199" s="733"/>
      <c r="CD199" s="733"/>
      <c r="CE199" s="733"/>
      <c r="CF199" s="733"/>
      <c r="CG199" s="733"/>
      <c r="CH199" s="733"/>
      <c r="CI199" s="733"/>
      <c r="CJ199" s="733"/>
      <c r="CK199" s="733"/>
      <c r="CL199" s="733"/>
      <c r="CM199" s="733"/>
      <c r="CN199" s="733"/>
      <c r="CO199" s="733"/>
      <c r="CP199" s="733"/>
      <c r="CQ199" s="733"/>
      <c r="CR199" s="733"/>
      <c r="CS199" s="733"/>
      <c r="CT199" s="733"/>
      <c r="CU199" s="733"/>
      <c r="CV199" s="733"/>
      <c r="CW199" s="733"/>
      <c r="CX199" s="733"/>
      <c r="CY199" s="733"/>
      <c r="CZ199" s="733"/>
      <c r="DA199" s="733"/>
      <c r="DB199" s="733"/>
      <c r="DC199" s="733"/>
      <c r="DD199" s="733"/>
      <c r="DE199" s="733"/>
      <c r="DF199" s="733"/>
      <c r="DG199" s="733"/>
      <c r="DH199" s="733"/>
    </row>
    <row r="200" spans="1:112" s="734" customFormat="1" ht="16.5" hidden="1" thickBot="1">
      <c r="A200" s="722"/>
      <c r="B200" s="333"/>
      <c r="C200" s="723"/>
      <c r="D200" s="326"/>
      <c r="E200" s="327"/>
      <c r="F200" s="724"/>
      <c r="G200" s="724"/>
      <c r="H200" s="724"/>
      <c r="I200" s="724"/>
      <c r="J200" s="724"/>
      <c r="K200" s="725"/>
      <c r="L200" s="725"/>
      <c r="M200" s="263">
        <f t="shared" si="12"/>
        <v>0</v>
      </c>
      <c r="N200" s="264">
        <f t="shared" si="9"/>
        <v>0</v>
      </c>
      <c r="O200" s="726"/>
      <c r="P200" s="727"/>
      <c r="Q200" s="728"/>
      <c r="R200" s="729"/>
      <c r="S200" s="730"/>
      <c r="T200" s="402"/>
      <c r="U200" s="401"/>
      <c r="V200" s="402"/>
      <c r="W200" s="403"/>
      <c r="X200" s="404"/>
      <c r="Y200" s="403"/>
      <c r="Z200" s="405"/>
      <c r="AA200" s="406"/>
      <c r="AB200" s="731"/>
      <c r="AC200" s="408"/>
      <c r="AD200" s="409"/>
      <c r="AE200" s="410"/>
      <c r="AF200" s="410"/>
      <c r="AG200" s="410"/>
      <c r="AH200" s="411"/>
      <c r="AI200" s="412"/>
      <c r="AJ200" s="732"/>
      <c r="AK200" s="733"/>
      <c r="AL200" s="733"/>
      <c r="AM200" s="733"/>
      <c r="AN200" s="733"/>
      <c r="AO200" s="733"/>
      <c r="AP200" s="733"/>
      <c r="AQ200" s="733"/>
      <c r="AR200" s="733"/>
      <c r="AS200" s="733"/>
      <c r="AT200" s="733"/>
      <c r="AU200" s="733"/>
      <c r="AV200" s="733"/>
      <c r="AW200" s="733"/>
      <c r="AX200" s="733"/>
      <c r="AY200" s="733"/>
      <c r="AZ200" s="733"/>
      <c r="BA200" s="733"/>
      <c r="BB200" s="733"/>
      <c r="BC200" s="733"/>
      <c r="BD200" s="733"/>
      <c r="BE200" s="733"/>
      <c r="BF200" s="733"/>
      <c r="BG200" s="733"/>
      <c r="BH200" s="733"/>
      <c r="BI200" s="733"/>
      <c r="BJ200" s="733"/>
      <c r="BK200" s="733"/>
      <c r="BL200" s="733"/>
      <c r="BM200" s="733"/>
      <c r="BN200" s="733"/>
      <c r="BO200" s="733"/>
      <c r="BP200" s="733"/>
      <c r="BQ200" s="733"/>
      <c r="BR200" s="733"/>
      <c r="BS200" s="733"/>
      <c r="BT200" s="733"/>
      <c r="BU200" s="733"/>
      <c r="BV200" s="733"/>
      <c r="BW200" s="733"/>
      <c r="BX200" s="733"/>
      <c r="BY200" s="733"/>
      <c r="BZ200" s="733"/>
      <c r="CA200" s="733"/>
      <c r="CB200" s="733"/>
      <c r="CC200" s="733"/>
      <c r="CD200" s="733"/>
      <c r="CE200" s="733"/>
      <c r="CF200" s="733"/>
      <c r="CG200" s="733"/>
      <c r="CH200" s="733"/>
      <c r="CI200" s="733"/>
      <c r="CJ200" s="733"/>
      <c r="CK200" s="733"/>
      <c r="CL200" s="733"/>
      <c r="CM200" s="733"/>
      <c r="CN200" s="733"/>
      <c r="CO200" s="733"/>
      <c r="CP200" s="733"/>
      <c r="CQ200" s="733"/>
      <c r="CR200" s="733"/>
      <c r="CS200" s="733"/>
      <c r="CT200" s="733"/>
      <c r="CU200" s="733"/>
      <c r="CV200" s="733"/>
      <c r="CW200" s="733"/>
      <c r="CX200" s="733"/>
      <c r="CY200" s="733"/>
      <c r="CZ200" s="733"/>
      <c r="DA200" s="733"/>
      <c r="DB200" s="733"/>
      <c r="DC200" s="733"/>
      <c r="DD200" s="733"/>
      <c r="DE200" s="733"/>
      <c r="DF200" s="733"/>
      <c r="DG200" s="733"/>
      <c r="DH200" s="733"/>
    </row>
    <row r="201" spans="1:112" s="734" customFormat="1" ht="16.5" hidden="1" thickBot="1">
      <c r="A201" s="722"/>
      <c r="B201" s="333"/>
      <c r="C201" s="723"/>
      <c r="D201" s="326"/>
      <c r="E201" s="327"/>
      <c r="F201" s="724"/>
      <c r="G201" s="724"/>
      <c r="H201" s="724"/>
      <c r="I201" s="724"/>
      <c r="J201" s="724"/>
      <c r="K201" s="725"/>
      <c r="L201" s="725"/>
      <c r="M201" s="263">
        <f t="shared" si="12"/>
        <v>0</v>
      </c>
      <c r="N201" s="264">
        <f t="shared" si="9"/>
        <v>0</v>
      </c>
      <c r="O201" s="726"/>
      <c r="P201" s="727"/>
      <c r="Q201" s="728"/>
      <c r="R201" s="729"/>
      <c r="S201" s="730"/>
      <c r="T201" s="402"/>
      <c r="U201" s="401"/>
      <c r="V201" s="402"/>
      <c r="W201" s="403"/>
      <c r="X201" s="404"/>
      <c r="Y201" s="403"/>
      <c r="Z201" s="405"/>
      <c r="AA201" s="406"/>
      <c r="AB201" s="731"/>
      <c r="AC201" s="408"/>
      <c r="AD201" s="409"/>
      <c r="AE201" s="410"/>
      <c r="AF201" s="410"/>
      <c r="AG201" s="410"/>
      <c r="AH201" s="411"/>
      <c r="AI201" s="412"/>
      <c r="AJ201" s="732"/>
      <c r="AK201" s="733"/>
      <c r="AL201" s="733"/>
      <c r="AM201" s="733"/>
      <c r="AN201" s="733"/>
      <c r="AO201" s="733"/>
      <c r="AP201" s="733"/>
      <c r="AQ201" s="733"/>
      <c r="AR201" s="733"/>
      <c r="AS201" s="733"/>
      <c r="AT201" s="733"/>
      <c r="AU201" s="733"/>
      <c r="AV201" s="733"/>
      <c r="AW201" s="733"/>
      <c r="AX201" s="733"/>
      <c r="AY201" s="733"/>
      <c r="AZ201" s="733"/>
      <c r="BA201" s="733"/>
      <c r="BB201" s="733"/>
      <c r="BC201" s="733"/>
      <c r="BD201" s="733"/>
      <c r="BE201" s="733"/>
      <c r="BF201" s="733"/>
      <c r="BG201" s="733"/>
      <c r="BH201" s="733"/>
      <c r="BI201" s="733"/>
      <c r="BJ201" s="733"/>
      <c r="BK201" s="733"/>
      <c r="BL201" s="733"/>
      <c r="BM201" s="733"/>
      <c r="BN201" s="733"/>
      <c r="BO201" s="733"/>
      <c r="BP201" s="733"/>
      <c r="BQ201" s="733"/>
      <c r="BR201" s="733"/>
      <c r="BS201" s="733"/>
      <c r="BT201" s="733"/>
      <c r="BU201" s="733"/>
      <c r="BV201" s="733"/>
      <c r="BW201" s="733"/>
      <c r="BX201" s="733"/>
      <c r="BY201" s="733"/>
      <c r="BZ201" s="733"/>
      <c r="CA201" s="733"/>
      <c r="CB201" s="733"/>
      <c r="CC201" s="733"/>
      <c r="CD201" s="733"/>
      <c r="CE201" s="733"/>
      <c r="CF201" s="733"/>
      <c r="CG201" s="733"/>
      <c r="CH201" s="733"/>
      <c r="CI201" s="733"/>
      <c r="CJ201" s="733"/>
      <c r="CK201" s="733"/>
      <c r="CL201" s="733"/>
      <c r="CM201" s="733"/>
      <c r="CN201" s="733"/>
      <c r="CO201" s="733"/>
      <c r="CP201" s="733"/>
      <c r="CQ201" s="733"/>
      <c r="CR201" s="733"/>
      <c r="CS201" s="733"/>
      <c r="CT201" s="733"/>
      <c r="CU201" s="733"/>
      <c r="CV201" s="733"/>
      <c r="CW201" s="733"/>
      <c r="CX201" s="733"/>
      <c r="CY201" s="733"/>
      <c r="CZ201" s="733"/>
      <c r="DA201" s="733"/>
      <c r="DB201" s="733"/>
      <c r="DC201" s="733"/>
      <c r="DD201" s="733"/>
      <c r="DE201" s="733"/>
      <c r="DF201" s="733"/>
      <c r="DG201" s="733"/>
      <c r="DH201" s="733"/>
    </row>
    <row r="202" spans="1:112" s="685" customFormat="1" ht="16.5" hidden="1" thickBot="1">
      <c r="A202" s="735"/>
      <c r="B202" s="736"/>
      <c r="C202" s="737"/>
      <c r="D202" s="738"/>
      <c r="E202" s="739"/>
      <c r="F202" s="740"/>
      <c r="G202" s="740"/>
      <c r="H202" s="740"/>
      <c r="I202" s="740"/>
      <c r="J202" s="740"/>
      <c r="K202" s="337"/>
      <c r="L202" s="337"/>
      <c r="M202" s="263">
        <f t="shared" si="12"/>
        <v>0</v>
      </c>
      <c r="N202" s="264">
        <f t="shared" si="9"/>
        <v>0</v>
      </c>
      <c r="O202" s="270"/>
      <c r="P202" s="478"/>
      <c r="Q202" s="177"/>
      <c r="R202" s="178"/>
      <c r="S202" s="179"/>
      <c r="T202" s="180"/>
      <c r="U202" s="305"/>
      <c r="V202" s="180"/>
      <c r="W202" s="29"/>
      <c r="X202" s="14"/>
      <c r="Y202" s="29"/>
      <c r="Z202" s="30"/>
      <c r="AA202" s="314"/>
      <c r="AB202" s="315"/>
      <c r="AC202" s="316"/>
      <c r="AD202" s="317"/>
      <c r="AE202" s="318"/>
      <c r="AF202" s="318"/>
      <c r="AG202" s="318"/>
      <c r="AH202" s="319"/>
      <c r="AI202" s="320"/>
      <c r="AJ202" s="683"/>
      <c r="AK202" s="684"/>
      <c r="AL202" s="684"/>
      <c r="AM202" s="684"/>
      <c r="AN202" s="684"/>
      <c r="AO202" s="684"/>
      <c r="AP202" s="684"/>
      <c r="AQ202" s="684"/>
      <c r="AR202" s="684"/>
      <c r="AS202" s="684"/>
      <c r="AT202" s="684"/>
      <c r="AU202" s="684"/>
      <c r="AV202" s="684"/>
      <c r="AW202" s="684"/>
      <c r="AX202" s="684"/>
      <c r="AY202" s="684"/>
      <c r="AZ202" s="684"/>
      <c r="BA202" s="684"/>
      <c r="BB202" s="684"/>
      <c r="BC202" s="684"/>
      <c r="BD202" s="684"/>
      <c r="BE202" s="684"/>
      <c r="BF202" s="684"/>
      <c r="BG202" s="684"/>
      <c r="BH202" s="684"/>
      <c r="BI202" s="684"/>
      <c r="BJ202" s="684"/>
      <c r="BK202" s="684"/>
      <c r="BL202" s="684"/>
      <c r="BM202" s="684"/>
      <c r="BN202" s="684"/>
      <c r="BO202" s="684"/>
      <c r="BP202" s="684"/>
      <c r="BQ202" s="684"/>
      <c r="BR202" s="684"/>
      <c r="BS202" s="684"/>
      <c r="BT202" s="684"/>
      <c r="BU202" s="684"/>
      <c r="BV202" s="684"/>
      <c r="BW202" s="684"/>
      <c r="BX202" s="684"/>
      <c r="BY202" s="684"/>
      <c r="BZ202" s="684"/>
      <c r="CA202" s="684"/>
      <c r="CB202" s="684"/>
      <c r="CC202" s="684"/>
      <c r="CD202" s="684"/>
      <c r="CE202" s="684"/>
      <c r="CF202" s="684"/>
      <c r="CG202" s="684"/>
      <c r="CH202" s="684"/>
      <c r="CI202" s="684"/>
      <c r="CJ202" s="684"/>
      <c r="CK202" s="684"/>
      <c r="CL202" s="684"/>
      <c r="CM202" s="684"/>
      <c r="CN202" s="684"/>
      <c r="CO202" s="684"/>
      <c r="CP202" s="684"/>
      <c r="CQ202" s="684"/>
      <c r="CR202" s="684"/>
      <c r="CS202" s="684"/>
      <c r="CT202" s="684"/>
      <c r="CU202" s="684"/>
      <c r="CV202" s="684"/>
      <c r="CW202" s="684"/>
      <c r="CX202" s="684"/>
      <c r="CY202" s="684"/>
      <c r="CZ202" s="684"/>
      <c r="DA202" s="684"/>
      <c r="DB202" s="684"/>
      <c r="DC202" s="684"/>
      <c r="DD202" s="684"/>
      <c r="DE202" s="684"/>
      <c r="DF202" s="684"/>
      <c r="DG202" s="684"/>
      <c r="DH202" s="684"/>
    </row>
    <row r="203" spans="1:112" s="690" customFormat="1" ht="30" customHeight="1" thickBot="1">
      <c r="A203" s="422" t="s">
        <v>221</v>
      </c>
      <c r="B203" s="345" t="s">
        <v>222</v>
      </c>
      <c r="C203" s="346"/>
      <c r="D203" s="347" t="s">
        <v>47</v>
      </c>
      <c r="E203" s="348">
        <f>SUM(E204:E220)</f>
        <v>7.374</v>
      </c>
      <c r="F203" s="349">
        <f>SUM(F204:F220)</f>
        <v>1133413.23</v>
      </c>
      <c r="G203" s="349"/>
      <c r="H203" s="349"/>
      <c r="I203" s="349"/>
      <c r="J203" s="349"/>
      <c r="K203" s="350"/>
      <c r="L203" s="350"/>
      <c r="M203" s="263"/>
      <c r="N203" s="264">
        <f t="shared" si="9"/>
        <v>0</v>
      </c>
      <c r="O203" s="351"/>
      <c r="P203" s="503"/>
      <c r="Q203" s="226"/>
      <c r="R203" s="227"/>
      <c r="S203" s="228"/>
      <c r="T203" s="229"/>
      <c r="U203" s="426"/>
      <c r="V203" s="229"/>
      <c r="W203" s="232"/>
      <c r="X203" s="233"/>
      <c r="Y203" s="232"/>
      <c r="Z203" s="234"/>
      <c r="AA203" s="352">
        <f>F205+F206+F210+F212+F216+F207+F218</f>
        <v>1103413.23</v>
      </c>
      <c r="AB203" s="236">
        <f>F214</f>
        <v>30000</v>
      </c>
      <c r="AC203" s="353"/>
      <c r="AD203" s="354"/>
      <c r="AE203" s="355"/>
      <c r="AF203" s="355"/>
      <c r="AG203" s="355"/>
      <c r="AH203" s="356"/>
      <c r="AI203" s="239" t="str">
        <f>IF(F203=AA203+AB203+AC203+AD203+AH203,"ОК")</f>
        <v>ОК</v>
      </c>
      <c r="AJ203" s="688"/>
      <c r="AK203" s="689"/>
      <c r="AL203" s="689"/>
      <c r="AM203" s="689"/>
      <c r="AN203" s="689"/>
      <c r="AO203" s="689"/>
      <c r="AP203" s="689"/>
      <c r="AQ203" s="689"/>
      <c r="AR203" s="689"/>
      <c r="AS203" s="689"/>
      <c r="AT203" s="689"/>
      <c r="AU203" s="689"/>
      <c r="AV203" s="689"/>
      <c r="AW203" s="689"/>
      <c r="AX203" s="689"/>
      <c r="AY203" s="689"/>
      <c r="AZ203" s="689"/>
      <c r="BA203" s="689"/>
      <c r="BB203" s="689"/>
      <c r="BC203" s="689"/>
      <c r="BD203" s="689"/>
      <c r="BE203" s="689"/>
      <c r="BF203" s="689"/>
      <c r="BG203" s="689"/>
      <c r="BH203" s="689"/>
      <c r="BI203" s="689"/>
      <c r="BJ203" s="689"/>
      <c r="BK203" s="689"/>
      <c r="BL203" s="689"/>
      <c r="BM203" s="689"/>
      <c r="BN203" s="689"/>
      <c r="BO203" s="689"/>
      <c r="BP203" s="689"/>
      <c r="BQ203" s="689"/>
      <c r="BR203" s="689"/>
      <c r="BS203" s="689"/>
      <c r="BT203" s="689"/>
      <c r="BU203" s="689"/>
      <c r="BV203" s="689"/>
      <c r="BW203" s="689"/>
      <c r="BX203" s="689"/>
      <c r="BY203" s="689"/>
      <c r="BZ203" s="689"/>
      <c r="CA203" s="689"/>
      <c r="CB203" s="689"/>
      <c r="CC203" s="689"/>
      <c r="CD203" s="689"/>
      <c r="CE203" s="689"/>
      <c r="CF203" s="689"/>
      <c r="CG203" s="689"/>
      <c r="CH203" s="689"/>
      <c r="CI203" s="689"/>
      <c r="CJ203" s="689"/>
      <c r="CK203" s="689"/>
      <c r="CL203" s="689"/>
      <c r="CM203" s="689"/>
      <c r="CN203" s="689"/>
      <c r="CO203" s="689"/>
      <c r="CP203" s="689"/>
      <c r="CQ203" s="689"/>
      <c r="CR203" s="689"/>
      <c r="CS203" s="689"/>
      <c r="CT203" s="689"/>
      <c r="CU203" s="689"/>
      <c r="CV203" s="689"/>
      <c r="CW203" s="689"/>
      <c r="CX203" s="689"/>
      <c r="CY203" s="689"/>
      <c r="CZ203" s="689"/>
      <c r="DA203" s="689"/>
      <c r="DB203" s="689"/>
      <c r="DC203" s="689"/>
      <c r="DD203" s="689"/>
      <c r="DE203" s="689"/>
      <c r="DF203" s="689"/>
      <c r="DG203" s="689"/>
      <c r="DH203" s="689"/>
    </row>
    <row r="204" spans="1:112" s="679" customFormat="1" ht="15.75">
      <c r="A204" s="596"/>
      <c r="B204" s="597" t="s">
        <v>223</v>
      </c>
      <c r="C204" s="242"/>
      <c r="D204" s="363"/>
      <c r="E204" s="364"/>
      <c r="F204" s="741"/>
      <c r="G204" s="741"/>
      <c r="H204" s="741"/>
      <c r="I204" s="741"/>
      <c r="J204" s="741"/>
      <c r="K204" s="742"/>
      <c r="L204" s="742"/>
      <c r="M204" s="263"/>
      <c r="N204" s="264"/>
      <c r="O204" s="270"/>
      <c r="P204" s="478"/>
      <c r="Q204" s="177"/>
      <c r="R204" s="178"/>
      <c r="S204" s="179"/>
      <c r="T204" s="180"/>
      <c r="U204" s="305"/>
      <c r="V204" s="180"/>
      <c r="W204" s="29"/>
      <c r="X204" s="14"/>
      <c r="Y204" s="29"/>
      <c r="Z204" s="30"/>
      <c r="AA204" s="289"/>
      <c r="AB204" s="290"/>
      <c r="AC204" s="291"/>
      <c r="AD204" s="292"/>
      <c r="AE204" s="293"/>
      <c r="AF204" s="293"/>
      <c r="AG204" s="293"/>
      <c r="AH204" s="294"/>
      <c r="AI204" s="255"/>
      <c r="AJ204" s="677"/>
      <c r="AK204" s="678"/>
      <c r="AL204" s="678"/>
      <c r="AM204" s="678"/>
      <c r="AN204" s="678"/>
      <c r="AO204" s="678"/>
      <c r="AP204" s="678"/>
      <c r="AQ204" s="678"/>
      <c r="AR204" s="678"/>
      <c r="AS204" s="678"/>
      <c r="AT204" s="678"/>
      <c r="AU204" s="678"/>
      <c r="AV204" s="678"/>
      <c r="AW204" s="678"/>
      <c r="AX204" s="678"/>
      <c r="AY204" s="678"/>
      <c r="AZ204" s="678"/>
      <c r="BA204" s="678"/>
      <c r="BB204" s="678"/>
      <c r="BC204" s="678"/>
      <c r="BD204" s="678"/>
      <c r="BE204" s="678"/>
      <c r="BF204" s="678"/>
      <c r="BG204" s="678"/>
      <c r="BH204" s="678"/>
      <c r="BI204" s="678"/>
      <c r="BJ204" s="678"/>
      <c r="BK204" s="678"/>
      <c r="BL204" s="678"/>
      <c r="BM204" s="678"/>
      <c r="BN204" s="678"/>
      <c r="BO204" s="678"/>
      <c r="BP204" s="678"/>
      <c r="BQ204" s="678"/>
      <c r="BR204" s="678"/>
      <c r="BS204" s="678"/>
      <c r="BT204" s="678"/>
      <c r="BU204" s="678"/>
      <c r="BV204" s="678"/>
      <c r="BW204" s="678"/>
      <c r="BX204" s="678"/>
      <c r="BY204" s="678"/>
      <c r="BZ204" s="678"/>
      <c r="CA204" s="678"/>
      <c r="CB204" s="678"/>
      <c r="CC204" s="678"/>
      <c r="CD204" s="678"/>
      <c r="CE204" s="678"/>
      <c r="CF204" s="678"/>
      <c r="CG204" s="678"/>
      <c r="CH204" s="678"/>
      <c r="CI204" s="678"/>
      <c r="CJ204" s="678"/>
      <c r="CK204" s="678"/>
      <c r="CL204" s="678"/>
      <c r="CM204" s="678"/>
      <c r="CN204" s="678"/>
      <c r="CO204" s="678"/>
      <c r="CP204" s="678"/>
      <c r="CQ204" s="678"/>
      <c r="CR204" s="678"/>
      <c r="CS204" s="678"/>
      <c r="CT204" s="678"/>
      <c r="CU204" s="678"/>
      <c r="CV204" s="678"/>
      <c r="CW204" s="678"/>
      <c r="CX204" s="678"/>
      <c r="CY204" s="678"/>
      <c r="CZ204" s="678"/>
      <c r="DA204" s="678"/>
      <c r="DB204" s="678"/>
      <c r="DC204" s="678"/>
      <c r="DD204" s="678"/>
      <c r="DE204" s="678"/>
      <c r="DF204" s="678"/>
      <c r="DG204" s="678"/>
      <c r="DH204" s="678"/>
    </row>
    <row r="205" spans="1:112" s="679" customFormat="1" ht="63">
      <c r="A205" s="596"/>
      <c r="B205" s="362" t="s">
        <v>224</v>
      </c>
      <c r="C205" s="242" t="s">
        <v>205</v>
      </c>
      <c r="D205" s="363" t="s">
        <v>47</v>
      </c>
      <c r="E205" s="364">
        <v>0.99</v>
      </c>
      <c r="F205" s="361">
        <v>30000</v>
      </c>
      <c r="G205" s="261">
        <v>2024</v>
      </c>
      <c r="H205" s="261">
        <v>2024</v>
      </c>
      <c r="I205" s="599" t="s">
        <v>66</v>
      </c>
      <c r="J205" s="361"/>
      <c r="K205" s="262"/>
      <c r="L205" s="262"/>
      <c r="M205" s="263">
        <f aca="true" t="shared" si="13" ref="M205:M210">F205-N205</f>
        <v>30000</v>
      </c>
      <c r="N205" s="264">
        <f t="shared" si="9"/>
        <v>0</v>
      </c>
      <c r="O205" s="270"/>
      <c r="P205" s="478"/>
      <c r="Q205" s="177"/>
      <c r="R205" s="178"/>
      <c r="S205" s="179"/>
      <c r="T205" s="180"/>
      <c r="U205" s="305"/>
      <c r="V205" s="180"/>
      <c r="W205" s="29"/>
      <c r="X205" s="14"/>
      <c r="Y205" s="29"/>
      <c r="Z205" s="30"/>
      <c r="AA205" s="289"/>
      <c r="AB205" s="290"/>
      <c r="AC205" s="291"/>
      <c r="AD205" s="292"/>
      <c r="AE205" s="293"/>
      <c r="AF205" s="293"/>
      <c r="AG205" s="293"/>
      <c r="AH205" s="294"/>
      <c r="AI205" s="255"/>
      <c r="AJ205" s="677"/>
      <c r="AK205" s="678"/>
      <c r="AL205" s="678"/>
      <c r="AM205" s="678"/>
      <c r="AN205" s="678"/>
      <c r="AO205" s="678"/>
      <c r="AP205" s="678"/>
      <c r="AQ205" s="678"/>
      <c r="AR205" s="678"/>
      <c r="AS205" s="678"/>
      <c r="AT205" s="678"/>
      <c r="AU205" s="678"/>
      <c r="AV205" s="678"/>
      <c r="AW205" s="678"/>
      <c r="AX205" s="678"/>
      <c r="AY205" s="678"/>
      <c r="AZ205" s="678"/>
      <c r="BA205" s="678"/>
      <c r="BB205" s="678"/>
      <c r="BC205" s="678"/>
      <c r="BD205" s="678"/>
      <c r="BE205" s="678"/>
      <c r="BF205" s="678"/>
      <c r="BG205" s="678"/>
      <c r="BH205" s="678"/>
      <c r="BI205" s="678"/>
      <c r="BJ205" s="678"/>
      <c r="BK205" s="678"/>
      <c r="BL205" s="678"/>
      <c r="BM205" s="678"/>
      <c r="BN205" s="678"/>
      <c r="BO205" s="678"/>
      <c r="BP205" s="678"/>
      <c r="BQ205" s="678"/>
      <c r="BR205" s="678"/>
      <c r="BS205" s="678"/>
      <c r="BT205" s="678"/>
      <c r="BU205" s="678"/>
      <c r="BV205" s="678"/>
      <c r="BW205" s="678"/>
      <c r="BX205" s="678"/>
      <c r="BY205" s="678"/>
      <c r="BZ205" s="678"/>
      <c r="CA205" s="678"/>
      <c r="CB205" s="678"/>
      <c r="CC205" s="678"/>
      <c r="CD205" s="678"/>
      <c r="CE205" s="678"/>
      <c r="CF205" s="678"/>
      <c r="CG205" s="678"/>
      <c r="CH205" s="678"/>
      <c r="CI205" s="678"/>
      <c r="CJ205" s="678"/>
      <c r="CK205" s="678"/>
      <c r="CL205" s="678"/>
      <c r="CM205" s="678"/>
      <c r="CN205" s="678"/>
      <c r="CO205" s="678"/>
      <c r="CP205" s="678"/>
      <c r="CQ205" s="678"/>
      <c r="CR205" s="678"/>
      <c r="CS205" s="678"/>
      <c r="CT205" s="678"/>
      <c r="CU205" s="678"/>
      <c r="CV205" s="678"/>
      <c r="CW205" s="678"/>
      <c r="CX205" s="678"/>
      <c r="CY205" s="678"/>
      <c r="CZ205" s="678"/>
      <c r="DA205" s="678"/>
      <c r="DB205" s="678"/>
      <c r="DC205" s="678"/>
      <c r="DD205" s="678"/>
      <c r="DE205" s="678"/>
      <c r="DF205" s="678"/>
      <c r="DG205" s="678"/>
      <c r="DH205" s="678"/>
    </row>
    <row r="206" spans="1:112" s="679" customFormat="1" ht="63">
      <c r="A206" s="276"/>
      <c r="B206" s="256" t="s">
        <v>225</v>
      </c>
      <c r="C206" s="242" t="s">
        <v>226</v>
      </c>
      <c r="D206" s="258" t="s">
        <v>47</v>
      </c>
      <c r="E206" s="259">
        <v>0.2</v>
      </c>
      <c r="F206" s="743">
        <v>170000</v>
      </c>
      <c r="G206" s="261">
        <v>2024</v>
      </c>
      <c r="H206" s="261">
        <v>2024</v>
      </c>
      <c r="I206" s="599" t="s">
        <v>66</v>
      </c>
      <c r="J206" s="743"/>
      <c r="K206" s="744"/>
      <c r="L206" s="744"/>
      <c r="M206" s="263">
        <f t="shared" si="13"/>
        <v>170000</v>
      </c>
      <c r="N206" s="264">
        <f t="shared" si="9"/>
        <v>0</v>
      </c>
      <c r="O206" s="270"/>
      <c r="P206" s="478"/>
      <c r="Q206" s="177"/>
      <c r="R206" s="178"/>
      <c r="S206" s="179"/>
      <c r="T206" s="180"/>
      <c r="U206" s="305"/>
      <c r="V206" s="180"/>
      <c r="W206" s="29"/>
      <c r="X206" s="14"/>
      <c r="Y206" s="29"/>
      <c r="Z206" s="30"/>
      <c r="AA206" s="289"/>
      <c r="AB206" s="290"/>
      <c r="AC206" s="291"/>
      <c r="AD206" s="292"/>
      <c r="AE206" s="293"/>
      <c r="AF206" s="293"/>
      <c r="AG206" s="293"/>
      <c r="AH206" s="294"/>
      <c r="AI206" s="255"/>
      <c r="AJ206" s="677"/>
      <c r="AK206" s="678"/>
      <c r="AL206" s="678"/>
      <c r="AM206" s="678"/>
      <c r="AN206" s="678"/>
      <c r="AO206" s="678"/>
      <c r="AP206" s="678"/>
      <c r="AQ206" s="678"/>
      <c r="AR206" s="678"/>
      <c r="AS206" s="678"/>
      <c r="AT206" s="678"/>
      <c r="AU206" s="678"/>
      <c r="AV206" s="678"/>
      <c r="AW206" s="678"/>
      <c r="AX206" s="678"/>
      <c r="AY206" s="678"/>
      <c r="AZ206" s="678"/>
      <c r="BA206" s="678"/>
      <c r="BB206" s="678"/>
      <c r="BC206" s="678"/>
      <c r="BD206" s="678"/>
      <c r="BE206" s="678"/>
      <c r="BF206" s="678"/>
      <c r="BG206" s="678"/>
      <c r="BH206" s="678"/>
      <c r="BI206" s="678"/>
      <c r="BJ206" s="678"/>
      <c r="BK206" s="678"/>
      <c r="BL206" s="678"/>
      <c r="BM206" s="678"/>
      <c r="BN206" s="678"/>
      <c r="BO206" s="678"/>
      <c r="BP206" s="678"/>
      <c r="BQ206" s="678"/>
      <c r="BR206" s="678"/>
      <c r="BS206" s="678"/>
      <c r="BT206" s="678"/>
      <c r="BU206" s="678"/>
      <c r="BV206" s="678"/>
      <c r="BW206" s="678"/>
      <c r="BX206" s="678"/>
      <c r="BY206" s="678"/>
      <c r="BZ206" s="678"/>
      <c r="CA206" s="678"/>
      <c r="CB206" s="678"/>
      <c r="CC206" s="678"/>
      <c r="CD206" s="678"/>
      <c r="CE206" s="678"/>
      <c r="CF206" s="678"/>
      <c r="CG206" s="678"/>
      <c r="CH206" s="678"/>
      <c r="CI206" s="678"/>
      <c r="CJ206" s="678"/>
      <c r="CK206" s="678"/>
      <c r="CL206" s="678"/>
      <c r="CM206" s="678"/>
      <c r="CN206" s="678"/>
      <c r="CO206" s="678"/>
      <c r="CP206" s="678"/>
      <c r="CQ206" s="678"/>
      <c r="CR206" s="678"/>
      <c r="CS206" s="678"/>
      <c r="CT206" s="678"/>
      <c r="CU206" s="678"/>
      <c r="CV206" s="678"/>
      <c r="CW206" s="678"/>
      <c r="CX206" s="678"/>
      <c r="CY206" s="678"/>
      <c r="CZ206" s="678"/>
      <c r="DA206" s="678"/>
      <c r="DB206" s="678"/>
      <c r="DC206" s="678"/>
      <c r="DD206" s="678"/>
      <c r="DE206" s="678"/>
      <c r="DF206" s="678"/>
      <c r="DG206" s="678"/>
      <c r="DH206" s="678"/>
    </row>
    <row r="207" spans="1:112" s="679" customFormat="1" ht="63">
      <c r="A207" s="276"/>
      <c r="B207" s="256" t="s">
        <v>227</v>
      </c>
      <c r="C207" s="242" t="s">
        <v>69</v>
      </c>
      <c r="D207" s="258" t="s">
        <v>47</v>
      </c>
      <c r="E207" s="259">
        <v>0.72</v>
      </c>
      <c r="F207" s="743">
        <v>300000</v>
      </c>
      <c r="G207" s="743" t="s">
        <v>71</v>
      </c>
      <c r="H207" s="743" t="s">
        <v>100</v>
      </c>
      <c r="I207" s="599" t="s">
        <v>66</v>
      </c>
      <c r="J207" s="260" t="s">
        <v>72</v>
      </c>
      <c r="K207" s="744"/>
      <c r="L207" s="744"/>
      <c r="M207" s="263">
        <f t="shared" si="13"/>
        <v>300000</v>
      </c>
      <c r="N207" s="264">
        <f t="shared" si="9"/>
        <v>0</v>
      </c>
      <c r="O207" s="270"/>
      <c r="P207" s="478"/>
      <c r="Q207" s="177"/>
      <c r="R207" s="178"/>
      <c r="S207" s="179"/>
      <c r="T207" s="180"/>
      <c r="U207" s="305"/>
      <c r="V207" s="180"/>
      <c r="W207" s="29"/>
      <c r="X207" s="14"/>
      <c r="Y207" s="29"/>
      <c r="Z207" s="30"/>
      <c r="AA207" s="289"/>
      <c r="AB207" s="290"/>
      <c r="AC207" s="291"/>
      <c r="AD207" s="292"/>
      <c r="AE207" s="293"/>
      <c r="AF207" s="293"/>
      <c r="AG207" s="293"/>
      <c r="AH207" s="294"/>
      <c r="AI207" s="255"/>
      <c r="AJ207" s="677"/>
      <c r="AK207" s="678"/>
      <c r="AL207" s="678"/>
      <c r="AM207" s="678"/>
      <c r="AN207" s="678"/>
      <c r="AO207" s="678"/>
      <c r="AP207" s="678"/>
      <c r="AQ207" s="678"/>
      <c r="AR207" s="678"/>
      <c r="AS207" s="678"/>
      <c r="AT207" s="678"/>
      <c r="AU207" s="678"/>
      <c r="AV207" s="678"/>
      <c r="AW207" s="678"/>
      <c r="AX207" s="678"/>
      <c r="AY207" s="678"/>
      <c r="AZ207" s="678"/>
      <c r="BA207" s="678"/>
      <c r="BB207" s="678"/>
      <c r="BC207" s="678"/>
      <c r="BD207" s="678"/>
      <c r="BE207" s="678"/>
      <c r="BF207" s="678"/>
      <c r="BG207" s="678"/>
      <c r="BH207" s="678"/>
      <c r="BI207" s="678"/>
      <c r="BJ207" s="678"/>
      <c r="BK207" s="678"/>
      <c r="BL207" s="678"/>
      <c r="BM207" s="678"/>
      <c r="BN207" s="678"/>
      <c r="BO207" s="678"/>
      <c r="BP207" s="678"/>
      <c r="BQ207" s="678"/>
      <c r="BR207" s="678"/>
      <c r="BS207" s="678"/>
      <c r="BT207" s="678"/>
      <c r="BU207" s="678"/>
      <c r="BV207" s="678"/>
      <c r="BW207" s="678"/>
      <c r="BX207" s="678"/>
      <c r="BY207" s="678"/>
      <c r="BZ207" s="678"/>
      <c r="CA207" s="678"/>
      <c r="CB207" s="678"/>
      <c r="CC207" s="678"/>
      <c r="CD207" s="678"/>
      <c r="CE207" s="678"/>
      <c r="CF207" s="678"/>
      <c r="CG207" s="678"/>
      <c r="CH207" s="678"/>
      <c r="CI207" s="678"/>
      <c r="CJ207" s="678"/>
      <c r="CK207" s="678"/>
      <c r="CL207" s="678"/>
      <c r="CM207" s="678"/>
      <c r="CN207" s="678"/>
      <c r="CO207" s="678"/>
      <c r="CP207" s="678"/>
      <c r="CQ207" s="678"/>
      <c r="CR207" s="678"/>
      <c r="CS207" s="678"/>
      <c r="CT207" s="678"/>
      <c r="CU207" s="678"/>
      <c r="CV207" s="678"/>
      <c r="CW207" s="678"/>
      <c r="CX207" s="678"/>
      <c r="CY207" s="678"/>
      <c r="CZ207" s="678"/>
      <c r="DA207" s="678"/>
      <c r="DB207" s="678"/>
      <c r="DC207" s="678"/>
      <c r="DD207" s="678"/>
      <c r="DE207" s="678"/>
      <c r="DF207" s="678"/>
      <c r="DG207" s="678"/>
      <c r="DH207" s="678"/>
    </row>
    <row r="208" spans="1:112" s="772" customFormat="1" ht="15.75" hidden="1">
      <c r="A208" s="745"/>
      <c r="B208" s="746"/>
      <c r="C208" s="747"/>
      <c r="D208" s="441"/>
      <c r="E208" s="748"/>
      <c r="F208" s="749"/>
      <c r="G208" s="749"/>
      <c r="H208" s="749"/>
      <c r="I208" s="749"/>
      <c r="J208" s="749"/>
      <c r="K208" s="750"/>
      <c r="L208" s="750"/>
      <c r="M208" s="751">
        <f t="shared" si="13"/>
        <v>0</v>
      </c>
      <c r="N208" s="752">
        <f t="shared" si="9"/>
        <v>0</v>
      </c>
      <c r="O208" s="753"/>
      <c r="P208" s="754"/>
      <c r="Q208" s="755"/>
      <c r="R208" s="756"/>
      <c r="S208" s="757"/>
      <c r="T208" s="758"/>
      <c r="U208" s="759"/>
      <c r="V208" s="758"/>
      <c r="W208" s="760"/>
      <c r="X208" s="761"/>
      <c r="Y208" s="760"/>
      <c r="Z208" s="762"/>
      <c r="AA208" s="763"/>
      <c r="AB208" s="764"/>
      <c r="AC208" s="765"/>
      <c r="AD208" s="766"/>
      <c r="AE208" s="767"/>
      <c r="AF208" s="767"/>
      <c r="AG208" s="767"/>
      <c r="AH208" s="768"/>
      <c r="AI208" s="769"/>
      <c r="AJ208" s="770"/>
      <c r="AK208" s="771"/>
      <c r="AL208" s="771"/>
      <c r="AM208" s="771"/>
      <c r="AN208" s="771"/>
      <c r="AO208" s="771"/>
      <c r="AP208" s="771"/>
      <c r="AQ208" s="771"/>
      <c r="AR208" s="771"/>
      <c r="AS208" s="771"/>
      <c r="AT208" s="771"/>
      <c r="AU208" s="771"/>
      <c r="AV208" s="771"/>
      <c r="AW208" s="771"/>
      <c r="AX208" s="771"/>
      <c r="AY208" s="771"/>
      <c r="AZ208" s="771"/>
      <c r="BA208" s="771"/>
      <c r="BB208" s="771"/>
      <c r="BC208" s="771"/>
      <c r="BD208" s="771"/>
      <c r="BE208" s="771"/>
      <c r="BF208" s="771"/>
      <c r="BG208" s="771"/>
      <c r="BH208" s="771"/>
      <c r="BI208" s="771"/>
      <c r="BJ208" s="771"/>
      <c r="BK208" s="771"/>
      <c r="BL208" s="771"/>
      <c r="BM208" s="771"/>
      <c r="BN208" s="771"/>
      <c r="BO208" s="771"/>
      <c r="BP208" s="771"/>
      <c r="BQ208" s="771"/>
      <c r="BR208" s="771"/>
      <c r="BS208" s="771"/>
      <c r="BT208" s="771"/>
      <c r="BU208" s="771"/>
      <c r="BV208" s="771"/>
      <c r="BW208" s="771"/>
      <c r="BX208" s="771"/>
      <c r="BY208" s="771"/>
      <c r="BZ208" s="771"/>
      <c r="CA208" s="771"/>
      <c r="CB208" s="771"/>
      <c r="CC208" s="771"/>
      <c r="CD208" s="771"/>
      <c r="CE208" s="771"/>
      <c r="CF208" s="771"/>
      <c r="CG208" s="771"/>
      <c r="CH208" s="771"/>
      <c r="CI208" s="771"/>
      <c r="CJ208" s="771"/>
      <c r="CK208" s="771"/>
      <c r="CL208" s="771"/>
      <c r="CM208" s="771"/>
      <c r="CN208" s="771"/>
      <c r="CO208" s="771"/>
      <c r="CP208" s="771"/>
      <c r="CQ208" s="771"/>
      <c r="CR208" s="771"/>
      <c r="CS208" s="771"/>
      <c r="CT208" s="771"/>
      <c r="CU208" s="771"/>
      <c r="CV208" s="771"/>
      <c r="CW208" s="771"/>
      <c r="CX208" s="771"/>
      <c r="CY208" s="771"/>
      <c r="CZ208" s="771"/>
      <c r="DA208" s="771"/>
      <c r="DB208" s="771"/>
      <c r="DC208" s="771"/>
      <c r="DD208" s="771"/>
      <c r="DE208" s="771"/>
      <c r="DF208" s="771"/>
      <c r="DG208" s="771"/>
      <c r="DH208" s="771"/>
    </row>
    <row r="209" spans="1:112" s="799" customFormat="1" ht="15.75" hidden="1">
      <c r="A209" s="773"/>
      <c r="B209" s="774"/>
      <c r="C209" s="775"/>
      <c r="D209" s="776"/>
      <c r="E209" s="777"/>
      <c r="F209" s="778"/>
      <c r="G209" s="778"/>
      <c r="H209" s="778"/>
      <c r="I209" s="778"/>
      <c r="J209" s="778"/>
      <c r="K209" s="779"/>
      <c r="L209" s="779"/>
      <c r="M209" s="751">
        <f t="shared" si="13"/>
        <v>0</v>
      </c>
      <c r="N209" s="752">
        <f t="shared" si="9"/>
        <v>0</v>
      </c>
      <c r="O209" s="780"/>
      <c r="P209" s="781"/>
      <c r="Q209" s="782"/>
      <c r="R209" s="783"/>
      <c r="S209" s="784"/>
      <c r="T209" s="785"/>
      <c r="U209" s="786"/>
      <c r="V209" s="785"/>
      <c r="W209" s="787"/>
      <c r="X209" s="788"/>
      <c r="Y209" s="787"/>
      <c r="Z209" s="789"/>
      <c r="AA209" s="790"/>
      <c r="AB209" s="791"/>
      <c r="AC209" s="792"/>
      <c r="AD209" s="793"/>
      <c r="AE209" s="794"/>
      <c r="AF209" s="794"/>
      <c r="AG209" s="794"/>
      <c r="AH209" s="795"/>
      <c r="AI209" s="796"/>
      <c r="AJ209" s="797"/>
      <c r="AK209" s="798"/>
      <c r="AL209" s="798"/>
      <c r="AM209" s="798"/>
      <c r="AN209" s="798"/>
      <c r="AO209" s="798"/>
      <c r="AP209" s="798"/>
      <c r="AQ209" s="798"/>
      <c r="AR209" s="798"/>
      <c r="AS209" s="798"/>
      <c r="AT209" s="798"/>
      <c r="AU209" s="798"/>
      <c r="AV209" s="798"/>
      <c r="AW209" s="798"/>
      <c r="AX209" s="798"/>
      <c r="AY209" s="798"/>
      <c r="AZ209" s="798"/>
      <c r="BA209" s="798"/>
      <c r="BB209" s="798"/>
      <c r="BC209" s="798"/>
      <c r="BD209" s="798"/>
      <c r="BE209" s="798"/>
      <c r="BF209" s="798"/>
      <c r="BG209" s="798"/>
      <c r="BH209" s="798"/>
      <c r="BI209" s="798"/>
      <c r="BJ209" s="798"/>
      <c r="BK209" s="798"/>
      <c r="BL209" s="798"/>
      <c r="BM209" s="798"/>
      <c r="BN209" s="798"/>
      <c r="BO209" s="798"/>
      <c r="BP209" s="798"/>
      <c r="BQ209" s="798"/>
      <c r="BR209" s="798"/>
      <c r="BS209" s="798"/>
      <c r="BT209" s="798"/>
      <c r="BU209" s="798"/>
      <c r="BV209" s="798"/>
      <c r="BW209" s="798"/>
      <c r="BX209" s="798"/>
      <c r="BY209" s="798"/>
      <c r="BZ209" s="798"/>
      <c r="CA209" s="798"/>
      <c r="CB209" s="798"/>
      <c r="CC209" s="798"/>
      <c r="CD209" s="798"/>
      <c r="CE209" s="798"/>
      <c r="CF209" s="798"/>
      <c r="CG209" s="798"/>
      <c r="CH209" s="798"/>
      <c r="CI209" s="798"/>
      <c r="CJ209" s="798"/>
      <c r="CK209" s="798"/>
      <c r="CL209" s="798"/>
      <c r="CM209" s="798"/>
      <c r="CN209" s="798"/>
      <c r="CO209" s="798"/>
      <c r="CP209" s="798"/>
      <c r="CQ209" s="798"/>
      <c r="CR209" s="798"/>
      <c r="CS209" s="798"/>
      <c r="CT209" s="798"/>
      <c r="CU209" s="798"/>
      <c r="CV209" s="798"/>
      <c r="CW209" s="798"/>
      <c r="CX209" s="798"/>
      <c r="CY209" s="798"/>
      <c r="CZ209" s="798"/>
      <c r="DA209" s="798"/>
      <c r="DB209" s="798"/>
      <c r="DC209" s="798"/>
      <c r="DD209" s="798"/>
      <c r="DE209" s="798"/>
      <c r="DF209" s="798"/>
      <c r="DG209" s="798"/>
      <c r="DH209" s="798"/>
    </row>
    <row r="210" spans="1:112" s="772" customFormat="1" ht="15.75" hidden="1">
      <c r="A210" s="745"/>
      <c r="B210" s="746"/>
      <c r="C210" s="747"/>
      <c r="D210" s="441"/>
      <c r="E210" s="800"/>
      <c r="F210" s="801"/>
      <c r="G210" s="801"/>
      <c r="H210" s="801"/>
      <c r="I210" s="801"/>
      <c r="J210" s="801"/>
      <c r="K210" s="802"/>
      <c r="L210" s="802"/>
      <c r="M210" s="751">
        <f t="shared" si="13"/>
        <v>0</v>
      </c>
      <c r="N210" s="752">
        <f t="shared" si="9"/>
        <v>0</v>
      </c>
      <c r="O210" s="753"/>
      <c r="P210" s="754"/>
      <c r="Q210" s="755"/>
      <c r="R210" s="756"/>
      <c r="S210" s="757"/>
      <c r="T210" s="758"/>
      <c r="U210" s="759"/>
      <c r="V210" s="758"/>
      <c r="W210" s="760"/>
      <c r="X210" s="761"/>
      <c r="Y210" s="760"/>
      <c r="Z210" s="762"/>
      <c r="AA210" s="763"/>
      <c r="AB210" s="764"/>
      <c r="AC210" s="765"/>
      <c r="AD210" s="766"/>
      <c r="AE210" s="767"/>
      <c r="AF210" s="767"/>
      <c r="AG210" s="767"/>
      <c r="AH210" s="768"/>
      <c r="AI210" s="769"/>
      <c r="AJ210" s="770"/>
      <c r="AK210" s="771"/>
      <c r="AL210" s="771" t="s">
        <v>130</v>
      </c>
      <c r="AM210" s="771"/>
      <c r="AN210" s="771"/>
      <c r="AO210" s="771"/>
      <c r="AP210" s="771"/>
      <c r="AQ210" s="771"/>
      <c r="AR210" s="771"/>
      <c r="AS210" s="771"/>
      <c r="AT210" s="771"/>
      <c r="AU210" s="771"/>
      <c r="AV210" s="771"/>
      <c r="AW210" s="771"/>
      <c r="AX210" s="771"/>
      <c r="AY210" s="771"/>
      <c r="AZ210" s="771"/>
      <c r="BA210" s="771"/>
      <c r="BB210" s="771"/>
      <c r="BC210" s="771"/>
      <c r="BD210" s="771"/>
      <c r="BE210" s="771"/>
      <c r="BF210" s="771"/>
      <c r="BG210" s="771"/>
      <c r="BH210" s="771"/>
      <c r="BI210" s="771"/>
      <c r="BJ210" s="771"/>
      <c r="BK210" s="771"/>
      <c r="BL210" s="771"/>
      <c r="BM210" s="771"/>
      <c r="BN210" s="771"/>
      <c r="BO210" s="771"/>
      <c r="BP210" s="771"/>
      <c r="BQ210" s="771"/>
      <c r="BR210" s="771"/>
      <c r="BS210" s="771"/>
      <c r="BT210" s="771"/>
      <c r="BU210" s="771"/>
      <c r="BV210" s="771"/>
      <c r="BW210" s="771"/>
      <c r="BX210" s="771"/>
      <c r="BY210" s="771"/>
      <c r="BZ210" s="771"/>
      <c r="CA210" s="771"/>
      <c r="CB210" s="771"/>
      <c r="CC210" s="771"/>
      <c r="CD210" s="771"/>
      <c r="CE210" s="771"/>
      <c r="CF210" s="771"/>
      <c r="CG210" s="771"/>
      <c r="CH210" s="771"/>
      <c r="CI210" s="771"/>
      <c r="CJ210" s="771"/>
      <c r="CK210" s="771"/>
      <c r="CL210" s="771"/>
      <c r="CM210" s="771"/>
      <c r="CN210" s="771"/>
      <c r="CO210" s="771"/>
      <c r="CP210" s="771"/>
      <c r="CQ210" s="771"/>
      <c r="CR210" s="771"/>
      <c r="CS210" s="771"/>
      <c r="CT210" s="771"/>
      <c r="CU210" s="771"/>
      <c r="CV210" s="771"/>
      <c r="CW210" s="771"/>
      <c r="CX210" s="771"/>
      <c r="CY210" s="771"/>
      <c r="CZ210" s="771"/>
      <c r="DA210" s="771"/>
      <c r="DB210" s="771"/>
      <c r="DC210" s="771"/>
      <c r="DD210" s="771"/>
      <c r="DE210" s="771"/>
      <c r="DF210" s="771"/>
      <c r="DG210" s="771"/>
      <c r="DH210" s="771"/>
    </row>
    <row r="211" spans="1:36" s="14" customFormat="1" ht="15.75">
      <c r="A211" s="276"/>
      <c r="B211" s="803" t="s">
        <v>228</v>
      </c>
      <c r="C211" s="242"/>
      <c r="D211" s="258"/>
      <c r="E211" s="259"/>
      <c r="F211" s="268"/>
      <c r="G211" s="268"/>
      <c r="H211" s="268"/>
      <c r="I211" s="268"/>
      <c r="J211" s="268"/>
      <c r="K211" s="269"/>
      <c r="L211" s="269"/>
      <c r="M211" s="263"/>
      <c r="N211" s="264"/>
      <c r="O211" s="270"/>
      <c r="P211" s="478"/>
      <c r="Q211" s="177"/>
      <c r="R211" s="178"/>
      <c r="S211" s="179"/>
      <c r="T211" s="180"/>
      <c r="U211" s="305"/>
      <c r="V211" s="180"/>
      <c r="W211" s="29"/>
      <c r="Y211" s="29"/>
      <c r="Z211" s="30"/>
      <c r="AA211" s="289"/>
      <c r="AB211" s="290"/>
      <c r="AC211" s="291"/>
      <c r="AD211" s="292"/>
      <c r="AE211" s="293"/>
      <c r="AF211" s="293"/>
      <c r="AG211" s="293"/>
      <c r="AH211" s="294"/>
      <c r="AI211" s="255"/>
      <c r="AJ211" s="23"/>
    </row>
    <row r="212" spans="1:112" s="679" customFormat="1" ht="63">
      <c r="A212" s="276"/>
      <c r="B212" s="256" t="s">
        <v>156</v>
      </c>
      <c r="C212" s="242" t="s">
        <v>205</v>
      </c>
      <c r="D212" s="258" t="s">
        <v>47</v>
      </c>
      <c r="E212" s="302">
        <v>2.604</v>
      </c>
      <c r="F212" s="804">
        <v>150000</v>
      </c>
      <c r="G212" s="261">
        <v>2024</v>
      </c>
      <c r="H212" s="261">
        <v>2024</v>
      </c>
      <c r="I212" s="599" t="s">
        <v>66</v>
      </c>
      <c r="J212" s="804"/>
      <c r="K212" s="805"/>
      <c r="L212" s="805"/>
      <c r="M212" s="263">
        <f>F212-N212</f>
        <v>150000</v>
      </c>
      <c r="N212" s="264">
        <f t="shared" si="9"/>
        <v>0</v>
      </c>
      <c r="O212" s="270"/>
      <c r="P212" s="478"/>
      <c r="Q212" s="177"/>
      <c r="R212" s="178"/>
      <c r="S212" s="179"/>
      <c r="T212" s="180"/>
      <c r="U212" s="305"/>
      <c r="V212" s="180"/>
      <c r="W212" s="29"/>
      <c r="X212" s="14"/>
      <c r="Y212" s="29"/>
      <c r="Z212" s="30"/>
      <c r="AA212" s="289"/>
      <c r="AB212" s="290"/>
      <c r="AC212" s="291"/>
      <c r="AD212" s="292"/>
      <c r="AE212" s="293"/>
      <c r="AF212" s="293"/>
      <c r="AG212" s="293"/>
      <c r="AH212" s="294"/>
      <c r="AI212" s="255"/>
      <c r="AJ212" s="677"/>
      <c r="AK212" s="678"/>
      <c r="AL212" s="678"/>
      <c r="AM212" s="678"/>
      <c r="AN212" s="678"/>
      <c r="AO212" s="678"/>
      <c r="AP212" s="678"/>
      <c r="AQ212" s="678"/>
      <c r="AR212" s="678"/>
      <c r="AS212" s="678"/>
      <c r="AT212" s="678"/>
      <c r="AU212" s="678"/>
      <c r="AV212" s="678"/>
      <c r="AW212" s="678"/>
      <c r="AX212" s="678"/>
      <c r="AY212" s="678"/>
      <c r="AZ212" s="678"/>
      <c r="BA212" s="678"/>
      <c r="BB212" s="678"/>
      <c r="BC212" s="678"/>
      <c r="BD212" s="678"/>
      <c r="BE212" s="678"/>
      <c r="BF212" s="678"/>
      <c r="BG212" s="678"/>
      <c r="BH212" s="678"/>
      <c r="BI212" s="678"/>
      <c r="BJ212" s="678"/>
      <c r="BK212" s="678"/>
      <c r="BL212" s="678"/>
      <c r="BM212" s="678"/>
      <c r="BN212" s="678"/>
      <c r="BO212" s="678"/>
      <c r="BP212" s="678"/>
      <c r="BQ212" s="678"/>
      <c r="BR212" s="678"/>
      <c r="BS212" s="678"/>
      <c r="BT212" s="678"/>
      <c r="BU212" s="678"/>
      <c r="BV212" s="678"/>
      <c r="BW212" s="678"/>
      <c r="BX212" s="678"/>
      <c r="BY212" s="678"/>
      <c r="BZ212" s="678"/>
      <c r="CA212" s="678"/>
      <c r="CB212" s="678"/>
      <c r="CC212" s="678"/>
      <c r="CD212" s="678"/>
      <c r="CE212" s="678"/>
      <c r="CF212" s="678"/>
      <c r="CG212" s="678"/>
      <c r="CH212" s="678"/>
      <c r="CI212" s="678"/>
      <c r="CJ212" s="678"/>
      <c r="CK212" s="678"/>
      <c r="CL212" s="678"/>
      <c r="CM212" s="678"/>
      <c r="CN212" s="678"/>
      <c r="CO212" s="678"/>
      <c r="CP212" s="678"/>
      <c r="CQ212" s="678"/>
      <c r="CR212" s="678"/>
      <c r="CS212" s="678"/>
      <c r="CT212" s="678"/>
      <c r="CU212" s="678"/>
      <c r="CV212" s="678"/>
      <c r="CW212" s="678"/>
      <c r="CX212" s="678"/>
      <c r="CY212" s="678"/>
      <c r="CZ212" s="678"/>
      <c r="DA212" s="678"/>
      <c r="DB212" s="678"/>
      <c r="DC212" s="678"/>
      <c r="DD212" s="678"/>
      <c r="DE212" s="678"/>
      <c r="DF212" s="678"/>
      <c r="DG212" s="678"/>
      <c r="DH212" s="678"/>
    </row>
    <row r="213" spans="1:36" s="14" customFormat="1" ht="15.75">
      <c r="A213" s="276"/>
      <c r="B213" s="803" t="s">
        <v>229</v>
      </c>
      <c r="C213" s="242"/>
      <c r="D213" s="258"/>
      <c r="E213" s="259"/>
      <c r="F213" s="268"/>
      <c r="G213" s="268"/>
      <c r="H213" s="268"/>
      <c r="I213" s="268"/>
      <c r="J213" s="268"/>
      <c r="K213" s="269"/>
      <c r="L213" s="269"/>
      <c r="M213" s="263"/>
      <c r="N213" s="264"/>
      <c r="O213" s="270"/>
      <c r="P213" s="478"/>
      <c r="Q213" s="177"/>
      <c r="R213" s="178"/>
      <c r="S213" s="179"/>
      <c r="T213" s="180"/>
      <c r="U213" s="305"/>
      <c r="V213" s="180"/>
      <c r="W213" s="288"/>
      <c r="Y213" s="29"/>
      <c r="Z213" s="30"/>
      <c r="AA213" s="289"/>
      <c r="AB213" s="290"/>
      <c r="AC213" s="291"/>
      <c r="AD213" s="292"/>
      <c r="AE213" s="293"/>
      <c r="AF213" s="293"/>
      <c r="AG213" s="293"/>
      <c r="AH213" s="294"/>
      <c r="AI213" s="255"/>
      <c r="AJ213" s="23"/>
    </row>
    <row r="214" spans="1:112" s="679" customFormat="1" ht="63">
      <c r="A214" s="276"/>
      <c r="B214" s="256" t="s">
        <v>230</v>
      </c>
      <c r="C214" s="257" t="s">
        <v>65</v>
      </c>
      <c r="D214" s="258" t="s">
        <v>47</v>
      </c>
      <c r="E214" s="259">
        <v>0.97</v>
      </c>
      <c r="F214" s="268">
        <v>30000</v>
      </c>
      <c r="G214" s="261">
        <v>2024</v>
      </c>
      <c r="H214" s="261">
        <v>2024</v>
      </c>
      <c r="I214" s="599" t="s">
        <v>66</v>
      </c>
      <c r="J214" s="268"/>
      <c r="K214" s="269"/>
      <c r="L214" s="269"/>
      <c r="M214" s="263">
        <f>F214-N214</f>
        <v>30000</v>
      </c>
      <c r="N214" s="264">
        <f t="shared" si="9"/>
        <v>0</v>
      </c>
      <c r="O214" s="270"/>
      <c r="P214" s="478"/>
      <c r="Q214" s="177"/>
      <c r="R214" s="178"/>
      <c r="S214" s="179"/>
      <c r="T214" s="180"/>
      <c r="U214" s="305"/>
      <c r="V214" s="180"/>
      <c r="W214" s="29"/>
      <c r="X214" s="14"/>
      <c r="Y214" s="29"/>
      <c r="Z214" s="30"/>
      <c r="AA214" s="289"/>
      <c r="AB214" s="290"/>
      <c r="AC214" s="291"/>
      <c r="AD214" s="292"/>
      <c r="AE214" s="293"/>
      <c r="AF214" s="293"/>
      <c r="AG214" s="293"/>
      <c r="AH214" s="294"/>
      <c r="AI214" s="255"/>
      <c r="AJ214" s="677"/>
      <c r="AK214" s="678"/>
      <c r="AL214" s="678"/>
      <c r="AM214" s="678"/>
      <c r="AN214" s="678"/>
      <c r="AO214" s="678"/>
      <c r="AP214" s="678"/>
      <c r="AQ214" s="678"/>
      <c r="AR214" s="678"/>
      <c r="AS214" s="678"/>
      <c r="AT214" s="678"/>
      <c r="AU214" s="678"/>
      <c r="AV214" s="678"/>
      <c r="AW214" s="678"/>
      <c r="AX214" s="678"/>
      <c r="AY214" s="678"/>
      <c r="AZ214" s="678"/>
      <c r="BA214" s="678"/>
      <c r="BB214" s="678"/>
      <c r="BC214" s="678"/>
      <c r="BD214" s="678"/>
      <c r="BE214" s="678"/>
      <c r="BF214" s="678"/>
      <c r="BG214" s="678"/>
      <c r="BH214" s="678"/>
      <c r="BI214" s="678"/>
      <c r="BJ214" s="678"/>
      <c r="BK214" s="678"/>
      <c r="BL214" s="678"/>
      <c r="BM214" s="678"/>
      <c r="BN214" s="678"/>
      <c r="BO214" s="678"/>
      <c r="BP214" s="678"/>
      <c r="BQ214" s="678"/>
      <c r="BR214" s="678"/>
      <c r="BS214" s="678"/>
      <c r="BT214" s="678"/>
      <c r="BU214" s="678"/>
      <c r="BV214" s="678"/>
      <c r="BW214" s="678"/>
      <c r="BX214" s="678"/>
      <c r="BY214" s="678"/>
      <c r="BZ214" s="678"/>
      <c r="CA214" s="678"/>
      <c r="CB214" s="678"/>
      <c r="CC214" s="678"/>
      <c r="CD214" s="678"/>
      <c r="CE214" s="678"/>
      <c r="CF214" s="678"/>
      <c r="CG214" s="678"/>
      <c r="CH214" s="678"/>
      <c r="CI214" s="678"/>
      <c r="CJ214" s="678"/>
      <c r="CK214" s="678"/>
      <c r="CL214" s="678"/>
      <c r="CM214" s="678"/>
      <c r="CN214" s="678"/>
      <c r="CO214" s="678"/>
      <c r="CP214" s="678"/>
      <c r="CQ214" s="678"/>
      <c r="CR214" s="678"/>
      <c r="CS214" s="678"/>
      <c r="CT214" s="678"/>
      <c r="CU214" s="678"/>
      <c r="CV214" s="678"/>
      <c r="CW214" s="678"/>
      <c r="CX214" s="678"/>
      <c r="CY214" s="678"/>
      <c r="CZ214" s="678"/>
      <c r="DA214" s="678"/>
      <c r="DB214" s="678"/>
      <c r="DC214" s="678"/>
      <c r="DD214" s="678"/>
      <c r="DE214" s="678"/>
      <c r="DF214" s="678"/>
      <c r="DG214" s="678"/>
      <c r="DH214" s="678"/>
    </row>
    <row r="215" spans="1:36" s="14" customFormat="1" ht="15.75">
      <c r="A215" s="276"/>
      <c r="B215" s="241" t="s">
        <v>231</v>
      </c>
      <c r="C215" s="486"/>
      <c r="D215" s="258"/>
      <c r="E215" s="259"/>
      <c r="F215" s="268"/>
      <c r="G215" s="268"/>
      <c r="H215" s="268"/>
      <c r="I215" s="268"/>
      <c r="J215" s="268"/>
      <c r="K215" s="269"/>
      <c r="L215" s="269"/>
      <c r="M215" s="263"/>
      <c r="N215" s="264"/>
      <c r="O215" s="270"/>
      <c r="P215" s="478"/>
      <c r="Q215" s="177"/>
      <c r="R215" s="178"/>
      <c r="S215" s="179"/>
      <c r="T215" s="180"/>
      <c r="U215" s="305"/>
      <c r="V215" s="180"/>
      <c r="W215" s="29"/>
      <c r="Y215" s="29"/>
      <c r="Z215" s="30"/>
      <c r="AA215" s="289"/>
      <c r="AB215" s="290"/>
      <c r="AC215" s="291"/>
      <c r="AD215" s="292"/>
      <c r="AE215" s="293"/>
      <c r="AF215" s="293"/>
      <c r="AG215" s="293"/>
      <c r="AH215" s="294"/>
      <c r="AI215" s="255"/>
      <c r="AJ215" s="23"/>
    </row>
    <row r="216" spans="1:36" s="14" customFormat="1" ht="63">
      <c r="A216" s="276"/>
      <c r="B216" s="256" t="s">
        <v>156</v>
      </c>
      <c r="C216" s="242" t="s">
        <v>232</v>
      </c>
      <c r="D216" s="258" t="s">
        <v>47</v>
      </c>
      <c r="E216" s="259">
        <v>0.94</v>
      </c>
      <c r="F216" s="268">
        <f>156900-3027.22</f>
        <v>153872.78</v>
      </c>
      <c r="G216" s="261">
        <v>2024</v>
      </c>
      <c r="H216" s="261">
        <v>2024</v>
      </c>
      <c r="I216" s="599" t="s">
        <v>66</v>
      </c>
      <c r="J216" s="268"/>
      <c r="K216" s="269"/>
      <c r="L216" s="269"/>
      <c r="M216" s="263">
        <f>F216-N216</f>
        <v>153872.78</v>
      </c>
      <c r="N216" s="264">
        <f t="shared" si="9"/>
        <v>0</v>
      </c>
      <c r="O216" s="270"/>
      <c r="P216" s="478"/>
      <c r="Q216" s="177"/>
      <c r="R216" s="178"/>
      <c r="S216" s="179"/>
      <c r="T216" s="180"/>
      <c r="U216" s="305"/>
      <c r="V216" s="180"/>
      <c r="W216" s="29"/>
      <c r="Y216" s="29"/>
      <c r="Z216" s="30"/>
      <c r="AA216" s="289"/>
      <c r="AB216" s="290"/>
      <c r="AC216" s="291"/>
      <c r="AD216" s="292"/>
      <c r="AE216" s="293"/>
      <c r="AF216" s="293"/>
      <c r="AG216" s="293"/>
      <c r="AH216" s="294"/>
      <c r="AI216" s="255"/>
      <c r="AJ216" s="23"/>
    </row>
    <row r="217" spans="1:36" s="578" customFormat="1" ht="15.75">
      <c r="A217" s="637"/>
      <c r="B217" s="241" t="s">
        <v>233</v>
      </c>
      <c r="C217" s="563"/>
      <c r="D217" s="564"/>
      <c r="E217" s="244"/>
      <c r="F217" s="638"/>
      <c r="G217" s="638"/>
      <c r="H217" s="638"/>
      <c r="I217" s="638"/>
      <c r="J217" s="638"/>
      <c r="K217" s="618"/>
      <c r="L217" s="618"/>
      <c r="M217" s="263"/>
      <c r="N217" s="264"/>
      <c r="O217" s="270"/>
      <c r="P217" s="619"/>
      <c r="Q217" s="572"/>
      <c r="R217" s="573"/>
      <c r="S217" s="574"/>
      <c r="T217" s="575"/>
      <c r="U217" s="576"/>
      <c r="V217" s="575"/>
      <c r="W217" s="579"/>
      <c r="Y217" s="579"/>
      <c r="Z217" s="580"/>
      <c r="AA217" s="581"/>
      <c r="AB217" s="582"/>
      <c r="AC217" s="583"/>
      <c r="AD217" s="584"/>
      <c r="AE217" s="585"/>
      <c r="AF217" s="585"/>
      <c r="AG217" s="585"/>
      <c r="AH217" s="586"/>
      <c r="AI217" s="587"/>
      <c r="AJ217" s="588"/>
    </row>
    <row r="218" spans="1:36" s="14" customFormat="1" ht="63.75" thickBot="1">
      <c r="A218" s="276"/>
      <c r="B218" s="256" t="s">
        <v>234</v>
      </c>
      <c r="C218" s="242" t="s">
        <v>69</v>
      </c>
      <c r="D218" s="258" t="s">
        <v>47</v>
      </c>
      <c r="E218" s="259">
        <v>0.95</v>
      </c>
      <c r="F218" s="268">
        <f>189000+107513.23+3027.22</f>
        <v>299540.44999999995</v>
      </c>
      <c r="G218" s="268" t="s">
        <v>235</v>
      </c>
      <c r="H218" s="268" t="s">
        <v>79</v>
      </c>
      <c r="I218" s="599" t="s">
        <v>66</v>
      </c>
      <c r="J218" s="260" t="s">
        <v>72</v>
      </c>
      <c r="K218" s="269"/>
      <c r="L218" s="269"/>
      <c r="M218" s="263">
        <f>F218-N218</f>
        <v>0</v>
      </c>
      <c r="N218" s="264">
        <f t="shared" si="9"/>
        <v>299540.44999999995</v>
      </c>
      <c r="O218" s="270"/>
      <c r="P218" s="478"/>
      <c r="Q218" s="177">
        <v>296513.23</v>
      </c>
      <c r="R218" s="178">
        <v>3027.22</v>
      </c>
      <c r="S218" s="179"/>
      <c r="T218" s="180"/>
      <c r="U218" s="305"/>
      <c r="V218" s="180"/>
      <c r="W218" s="288"/>
      <c r="Y218" s="29"/>
      <c r="Z218" s="30"/>
      <c r="AA218" s="289"/>
      <c r="AB218" s="290"/>
      <c r="AC218" s="291"/>
      <c r="AD218" s="292"/>
      <c r="AE218" s="293"/>
      <c r="AF218" s="293"/>
      <c r="AG218" s="293"/>
      <c r="AH218" s="294"/>
      <c r="AI218" s="255"/>
      <c r="AJ218" s="23"/>
    </row>
    <row r="219" spans="1:35" ht="16.5" hidden="1" thickBot="1">
      <c r="A219" s="643"/>
      <c r="B219" s="656"/>
      <c r="C219" s="334"/>
      <c r="D219" s="326"/>
      <c r="E219" s="327"/>
      <c r="F219" s="336"/>
      <c r="G219" s="336"/>
      <c r="H219" s="336"/>
      <c r="I219" s="336"/>
      <c r="J219" s="336"/>
      <c r="K219" s="337"/>
      <c r="L219" s="337"/>
      <c r="M219" s="263">
        <f>F219-N219</f>
        <v>0</v>
      </c>
      <c r="N219" s="264">
        <f t="shared" si="9"/>
        <v>0</v>
      </c>
      <c r="O219" s="270"/>
      <c r="P219" s="478"/>
      <c r="Q219" s="177"/>
      <c r="R219" s="178"/>
      <c r="S219" s="179"/>
      <c r="T219" s="180"/>
      <c r="U219" s="305"/>
      <c r="V219" s="180"/>
      <c r="W219" s="288"/>
      <c r="AA219" s="314"/>
      <c r="AB219" s="315"/>
      <c r="AC219" s="316"/>
      <c r="AD219" s="317"/>
      <c r="AE219" s="318"/>
      <c r="AF219" s="318"/>
      <c r="AG219" s="318"/>
      <c r="AH219" s="319"/>
      <c r="AI219" s="320"/>
    </row>
    <row r="220" spans="1:36" s="14" customFormat="1" ht="16.5" hidden="1" thickBot="1">
      <c r="A220" s="645"/>
      <c r="B220" s="806"/>
      <c r="C220" s="340"/>
      <c r="D220" s="341"/>
      <c r="E220" s="807"/>
      <c r="F220" s="343"/>
      <c r="G220" s="343"/>
      <c r="H220" s="343"/>
      <c r="I220" s="343"/>
      <c r="J220" s="343"/>
      <c r="K220" s="337"/>
      <c r="L220" s="337"/>
      <c r="M220" s="263">
        <f>F220-N220</f>
        <v>0</v>
      </c>
      <c r="N220" s="264">
        <f t="shared" si="9"/>
        <v>0</v>
      </c>
      <c r="O220" s="270"/>
      <c r="P220" s="808"/>
      <c r="Q220" s="809"/>
      <c r="R220" s="810"/>
      <c r="S220" s="811"/>
      <c r="T220" s="812"/>
      <c r="U220" s="813"/>
      <c r="V220" s="812"/>
      <c r="W220" s="814"/>
      <c r="X220" s="815"/>
      <c r="Y220" s="816"/>
      <c r="Z220" s="817"/>
      <c r="AA220" s="289"/>
      <c r="AB220" s="290"/>
      <c r="AC220" s="291"/>
      <c r="AD220" s="292"/>
      <c r="AE220" s="293"/>
      <c r="AF220" s="293"/>
      <c r="AG220" s="293"/>
      <c r="AH220" s="294"/>
      <c r="AI220" s="255"/>
      <c r="AJ220" s="23"/>
    </row>
    <row r="221" spans="1:36" s="233" customFormat="1" ht="28.5" customHeight="1" thickBot="1">
      <c r="A221" s="422" t="s">
        <v>236</v>
      </c>
      <c r="B221" s="345" t="s">
        <v>237</v>
      </c>
      <c r="C221" s="346"/>
      <c r="D221" s="347"/>
      <c r="E221" s="348">
        <f>SUM(E222:E228)</f>
        <v>1.4</v>
      </c>
      <c r="F221" s="349">
        <f>SUM(F222:F228)</f>
        <v>189000</v>
      </c>
      <c r="G221" s="349"/>
      <c r="H221" s="349"/>
      <c r="I221" s="349"/>
      <c r="J221" s="349"/>
      <c r="K221" s="350"/>
      <c r="L221" s="350"/>
      <c r="M221" s="263"/>
      <c r="N221" s="264">
        <f t="shared" si="9"/>
        <v>0</v>
      </c>
      <c r="O221" s="270"/>
      <c r="P221" s="503"/>
      <c r="Q221" s="226"/>
      <c r="R221" s="227"/>
      <c r="S221" s="228"/>
      <c r="T221" s="229"/>
      <c r="U221" s="426"/>
      <c r="V221" s="229"/>
      <c r="W221" s="818"/>
      <c r="Y221" s="232"/>
      <c r="Z221" s="234"/>
      <c r="AA221" s="352">
        <f>F223+F224+F225</f>
        <v>189000</v>
      </c>
      <c r="AB221" s="541"/>
      <c r="AC221" s="353"/>
      <c r="AD221" s="354"/>
      <c r="AE221" s="355"/>
      <c r="AF221" s="355"/>
      <c r="AG221" s="355"/>
      <c r="AH221" s="356"/>
      <c r="AI221" s="239" t="str">
        <f>IF(F221=AA221+AB221+AC221+AD221+AH221,"ОК")</f>
        <v>ОК</v>
      </c>
      <c r="AJ221" s="240"/>
    </row>
    <row r="222" spans="1:36" s="14" customFormat="1" ht="15.75" customHeight="1">
      <c r="A222" s="596"/>
      <c r="B222" s="597" t="s">
        <v>238</v>
      </c>
      <c r="C222" s="819"/>
      <c r="D222" s="363"/>
      <c r="E222" s="364"/>
      <c r="F222" s="820"/>
      <c r="G222" s="820"/>
      <c r="H222" s="820"/>
      <c r="I222" s="820"/>
      <c r="J222" s="820"/>
      <c r="K222" s="70"/>
      <c r="L222" s="70"/>
      <c r="M222" s="263"/>
      <c r="N222" s="264"/>
      <c r="O222" s="270"/>
      <c r="P222" s="478"/>
      <c r="Q222" s="177"/>
      <c r="R222" s="178"/>
      <c r="S222" s="179"/>
      <c r="T222" s="180"/>
      <c r="U222" s="305"/>
      <c r="V222" s="180"/>
      <c r="W222" s="288"/>
      <c r="Y222" s="29"/>
      <c r="Z222" s="30"/>
      <c r="AA222" s="289"/>
      <c r="AB222" s="290"/>
      <c r="AC222" s="291"/>
      <c r="AD222" s="292"/>
      <c r="AE222" s="293"/>
      <c r="AF222" s="293"/>
      <c r="AG222" s="293"/>
      <c r="AH222" s="294"/>
      <c r="AI222" s="255"/>
      <c r="AJ222" s="23"/>
    </row>
    <row r="223" spans="1:36" s="14" customFormat="1" ht="62.25" customHeight="1" thickBot="1">
      <c r="A223" s="276"/>
      <c r="B223" s="256" t="s">
        <v>239</v>
      </c>
      <c r="C223" s="589" t="s">
        <v>69</v>
      </c>
      <c r="D223" s="258" t="s">
        <v>47</v>
      </c>
      <c r="E223" s="259">
        <v>1.4</v>
      </c>
      <c r="F223" s="268">
        <v>189000</v>
      </c>
      <c r="G223" s="268" t="s">
        <v>70</v>
      </c>
      <c r="H223" s="268" t="s">
        <v>71</v>
      </c>
      <c r="I223" s="599" t="s">
        <v>66</v>
      </c>
      <c r="J223" s="260" t="s">
        <v>72</v>
      </c>
      <c r="K223" s="269"/>
      <c r="L223" s="269"/>
      <c r="M223" s="263">
        <f aca="true" t="shared" si="14" ref="M223:M228">F223-N223</f>
        <v>189000</v>
      </c>
      <c r="N223" s="264">
        <f t="shared" si="9"/>
        <v>0</v>
      </c>
      <c r="O223" s="270"/>
      <c r="P223" s="478"/>
      <c r="Q223" s="177"/>
      <c r="R223" s="178"/>
      <c r="S223" s="179"/>
      <c r="T223" s="180"/>
      <c r="U223" s="305"/>
      <c r="V223" s="180"/>
      <c r="W223" s="288"/>
      <c r="Y223" s="29"/>
      <c r="Z223" s="30"/>
      <c r="AA223" s="289"/>
      <c r="AB223" s="290"/>
      <c r="AC223" s="291"/>
      <c r="AD223" s="292"/>
      <c r="AE223" s="293"/>
      <c r="AF223" s="293"/>
      <c r="AG223" s="293"/>
      <c r="AH223" s="294"/>
      <c r="AI223" s="255"/>
      <c r="AJ223" s="23"/>
    </row>
    <row r="224" spans="1:36" s="829" customFormat="1" ht="21.75" customHeight="1" hidden="1">
      <c r="A224" s="276"/>
      <c r="B224" s="256"/>
      <c r="C224" s="486"/>
      <c r="D224" s="258"/>
      <c r="E224" s="259"/>
      <c r="F224" s="268"/>
      <c r="G224" s="268"/>
      <c r="H224" s="268"/>
      <c r="I224" s="268"/>
      <c r="J224" s="268"/>
      <c r="K224" s="269"/>
      <c r="L224" s="269"/>
      <c r="M224" s="263">
        <f t="shared" si="14"/>
        <v>0</v>
      </c>
      <c r="N224" s="264">
        <f t="shared" si="9"/>
        <v>0</v>
      </c>
      <c r="O224" s="821"/>
      <c r="P224" s="822"/>
      <c r="Q224" s="823"/>
      <c r="R224" s="824"/>
      <c r="S224" s="825"/>
      <c r="T224" s="826"/>
      <c r="U224" s="827"/>
      <c r="V224" s="826"/>
      <c r="W224" s="828"/>
      <c r="Y224" s="830"/>
      <c r="Z224" s="831"/>
      <c r="AA224" s="832"/>
      <c r="AB224" s="833"/>
      <c r="AC224" s="834"/>
      <c r="AD224" s="835"/>
      <c r="AE224" s="836"/>
      <c r="AF224" s="836"/>
      <c r="AG224" s="836"/>
      <c r="AH224" s="837"/>
      <c r="AI224" s="838"/>
      <c r="AJ224" s="839"/>
    </row>
    <row r="225" spans="1:36" s="829" customFormat="1" ht="21.75" customHeight="1" hidden="1">
      <c r="A225" s="276"/>
      <c r="B225" s="256"/>
      <c r="C225" s="550"/>
      <c r="D225" s="258"/>
      <c r="E225" s="259"/>
      <c r="F225" s="268"/>
      <c r="G225" s="268"/>
      <c r="H225" s="268"/>
      <c r="I225" s="268"/>
      <c r="J225" s="268"/>
      <c r="K225" s="269"/>
      <c r="L225" s="269"/>
      <c r="M225" s="263">
        <f t="shared" si="14"/>
        <v>0</v>
      </c>
      <c r="N225" s="264">
        <f t="shared" si="9"/>
        <v>0</v>
      </c>
      <c r="O225" s="821"/>
      <c r="P225" s="822"/>
      <c r="Q225" s="823"/>
      <c r="R225" s="824"/>
      <c r="S225" s="825"/>
      <c r="T225" s="826"/>
      <c r="U225" s="827"/>
      <c r="V225" s="826"/>
      <c r="W225" s="828"/>
      <c r="Y225" s="830"/>
      <c r="Z225" s="831"/>
      <c r="AA225" s="832"/>
      <c r="AB225" s="833"/>
      <c r="AC225" s="834"/>
      <c r="AD225" s="835"/>
      <c r="AE225" s="836"/>
      <c r="AF225" s="836"/>
      <c r="AG225" s="836"/>
      <c r="AH225" s="837"/>
      <c r="AI225" s="838"/>
      <c r="AJ225" s="839"/>
    </row>
    <row r="226" spans="1:35" ht="16.5" hidden="1" thickBot="1">
      <c r="A226" s="643"/>
      <c r="B226" s="308"/>
      <c r="C226" s="325"/>
      <c r="D226" s="326"/>
      <c r="E226" s="327"/>
      <c r="F226" s="840"/>
      <c r="G226" s="840"/>
      <c r="H226" s="840"/>
      <c r="I226" s="840"/>
      <c r="J226" s="840"/>
      <c r="K226" s="841"/>
      <c r="L226" s="841"/>
      <c r="M226" s="263">
        <f t="shared" si="14"/>
        <v>0</v>
      </c>
      <c r="N226" s="264">
        <f t="shared" si="9"/>
        <v>0</v>
      </c>
      <c r="O226" s="270"/>
      <c r="P226" s="478"/>
      <c r="Q226" s="177"/>
      <c r="R226" s="178"/>
      <c r="S226" s="179"/>
      <c r="T226" s="180"/>
      <c r="U226" s="305"/>
      <c r="V226" s="180"/>
      <c r="W226" s="288"/>
      <c r="AA226" s="314"/>
      <c r="AB226" s="315"/>
      <c r="AC226" s="316"/>
      <c r="AD226" s="317"/>
      <c r="AE226" s="318"/>
      <c r="AF226" s="318"/>
      <c r="AG226" s="318"/>
      <c r="AH226" s="319"/>
      <c r="AI226" s="320"/>
    </row>
    <row r="227" spans="1:35" ht="16.5" hidden="1" thickBot="1">
      <c r="A227" s="643"/>
      <c r="B227" s="308"/>
      <c r="C227" s="325"/>
      <c r="D227" s="326"/>
      <c r="E227" s="327"/>
      <c r="F227" s="840"/>
      <c r="G227" s="840"/>
      <c r="H227" s="840"/>
      <c r="I227" s="840"/>
      <c r="J227" s="840"/>
      <c r="K227" s="841"/>
      <c r="L227" s="841"/>
      <c r="M227" s="263">
        <f t="shared" si="14"/>
        <v>0</v>
      </c>
      <c r="N227" s="264">
        <f t="shared" si="9"/>
        <v>0</v>
      </c>
      <c r="O227" s="270"/>
      <c r="P227" s="478"/>
      <c r="Q227" s="177"/>
      <c r="R227" s="178"/>
      <c r="S227" s="179"/>
      <c r="T227" s="180"/>
      <c r="U227" s="305"/>
      <c r="V227" s="180"/>
      <c r="W227" s="288"/>
      <c r="AA227" s="314"/>
      <c r="AB227" s="315"/>
      <c r="AC227" s="316"/>
      <c r="AD227" s="317"/>
      <c r="AE227" s="318"/>
      <c r="AF227" s="318"/>
      <c r="AG227" s="318"/>
      <c r="AH227" s="319"/>
      <c r="AI227" s="320"/>
    </row>
    <row r="228" spans="1:35" ht="16.5" hidden="1" thickBot="1">
      <c r="A228" s="645"/>
      <c r="B228" s="339"/>
      <c r="C228" s="647"/>
      <c r="D228" s="341"/>
      <c r="E228" s="420"/>
      <c r="F228" s="842"/>
      <c r="G228" s="842"/>
      <c r="H228" s="842"/>
      <c r="I228" s="842"/>
      <c r="J228" s="842"/>
      <c r="K228" s="841"/>
      <c r="L228" s="841"/>
      <c r="M228" s="263">
        <f t="shared" si="14"/>
        <v>0</v>
      </c>
      <c r="N228" s="264">
        <f t="shared" si="9"/>
        <v>0</v>
      </c>
      <c r="O228" s="270"/>
      <c r="P228" s="478"/>
      <c r="Q228" s="177"/>
      <c r="R228" s="178"/>
      <c r="S228" s="179"/>
      <c r="T228" s="180"/>
      <c r="U228" s="305"/>
      <c r="V228" s="180"/>
      <c r="W228" s="288"/>
      <c r="AA228" s="314"/>
      <c r="AB228" s="315"/>
      <c r="AC228" s="316"/>
      <c r="AD228" s="317"/>
      <c r="AE228" s="318"/>
      <c r="AF228" s="318"/>
      <c r="AG228" s="318"/>
      <c r="AH228" s="319"/>
      <c r="AI228" s="320"/>
    </row>
    <row r="229" spans="1:36" s="233" customFormat="1" ht="29.25" customHeight="1" thickBot="1">
      <c r="A229" s="422" t="s">
        <v>240</v>
      </c>
      <c r="B229" s="345" t="s">
        <v>241</v>
      </c>
      <c r="C229" s="346"/>
      <c r="D229" s="347" t="s">
        <v>47</v>
      </c>
      <c r="E229" s="348">
        <f>SUM(E231:E238)</f>
        <v>1.05</v>
      </c>
      <c r="F229" s="349">
        <f>SUM(F230:F238)</f>
        <v>207500</v>
      </c>
      <c r="G229" s="349"/>
      <c r="H229" s="349"/>
      <c r="I229" s="349"/>
      <c r="J229" s="349"/>
      <c r="K229" s="350"/>
      <c r="L229" s="350"/>
      <c r="M229" s="263"/>
      <c r="N229" s="264">
        <f t="shared" si="9"/>
        <v>0</v>
      </c>
      <c r="O229" s="351"/>
      <c r="P229" s="503"/>
      <c r="Q229" s="226"/>
      <c r="R229" s="227"/>
      <c r="S229" s="228"/>
      <c r="T229" s="229"/>
      <c r="U229" s="426"/>
      <c r="V229" s="229"/>
      <c r="W229" s="818"/>
      <c r="Y229" s="232"/>
      <c r="Z229" s="234"/>
      <c r="AA229" s="352">
        <f>F231+F235+F232+F236+F237+F238</f>
        <v>207500</v>
      </c>
      <c r="AB229" s="541"/>
      <c r="AC229" s="353"/>
      <c r="AD229" s="354"/>
      <c r="AE229" s="427">
        <f>F233</f>
        <v>0</v>
      </c>
      <c r="AF229" s="427"/>
      <c r="AG229" s="427"/>
      <c r="AH229" s="356"/>
      <c r="AI229" s="239" t="str">
        <f>IF(F229=AA229+AB229+AC229+AD229++AE229+AH229+AF229+AG229,"ОК")</f>
        <v>ОК</v>
      </c>
      <c r="AJ229" s="240"/>
    </row>
    <row r="230" spans="1:36" s="14" customFormat="1" ht="15.75">
      <c r="A230" s="843"/>
      <c r="B230" s="357" t="s">
        <v>242</v>
      </c>
      <c r="C230" s="374"/>
      <c r="D230" s="359"/>
      <c r="E230" s="360"/>
      <c r="F230" s="721"/>
      <c r="G230" s="721"/>
      <c r="H230" s="721"/>
      <c r="I230" s="721"/>
      <c r="J230" s="721"/>
      <c r="K230" s="246"/>
      <c r="L230" s="246"/>
      <c r="M230" s="263"/>
      <c r="N230" s="264"/>
      <c r="O230" s="270"/>
      <c r="P230" s="478"/>
      <c r="Q230" s="177"/>
      <c r="R230" s="178"/>
      <c r="S230" s="179"/>
      <c r="T230" s="180"/>
      <c r="U230" s="305"/>
      <c r="V230" s="180"/>
      <c r="W230" s="288"/>
      <c r="Y230" s="29"/>
      <c r="Z230" s="30"/>
      <c r="AA230" s="289"/>
      <c r="AB230" s="290"/>
      <c r="AC230" s="291"/>
      <c r="AD230" s="292"/>
      <c r="AE230" s="293"/>
      <c r="AF230" s="293"/>
      <c r="AG230" s="293"/>
      <c r="AH230" s="294"/>
      <c r="AI230" s="255"/>
      <c r="AJ230" s="23"/>
    </row>
    <row r="231" spans="1:36" s="14" customFormat="1" ht="63.75" thickBot="1">
      <c r="A231" s="276"/>
      <c r="B231" s="306" t="s">
        <v>243</v>
      </c>
      <c r="C231" s="242" t="s">
        <v>69</v>
      </c>
      <c r="D231" s="258" t="s">
        <v>47</v>
      </c>
      <c r="E231" s="302">
        <v>1.05</v>
      </c>
      <c r="F231" s="268">
        <v>207500</v>
      </c>
      <c r="G231" s="268" t="s">
        <v>70</v>
      </c>
      <c r="H231" s="268" t="s">
        <v>71</v>
      </c>
      <c r="I231" s="599" t="s">
        <v>66</v>
      </c>
      <c r="J231" s="260" t="s">
        <v>72</v>
      </c>
      <c r="K231" s="269"/>
      <c r="L231" s="269"/>
      <c r="M231" s="263">
        <f aca="true" t="shared" si="15" ref="M231:M238">F231-N231</f>
        <v>207500</v>
      </c>
      <c r="N231" s="264">
        <f t="shared" si="9"/>
        <v>0</v>
      </c>
      <c r="O231" s="270"/>
      <c r="P231" s="478"/>
      <c r="Q231" s="177"/>
      <c r="R231" s="178"/>
      <c r="S231" s="179"/>
      <c r="T231" s="180"/>
      <c r="U231" s="305"/>
      <c r="V231" s="180"/>
      <c r="W231" s="288"/>
      <c r="Y231" s="29"/>
      <c r="Z231" s="30"/>
      <c r="AA231" s="289"/>
      <c r="AB231" s="290"/>
      <c r="AC231" s="291"/>
      <c r="AD231" s="292"/>
      <c r="AE231" s="293"/>
      <c r="AF231" s="293"/>
      <c r="AG231" s="293"/>
      <c r="AH231" s="294"/>
      <c r="AI231" s="255"/>
      <c r="AJ231" s="23"/>
    </row>
    <row r="232" spans="1:36" s="14" customFormat="1" ht="16.5" hidden="1" thickBot="1">
      <c r="A232" s="1003"/>
      <c r="B232" s="844"/>
      <c r="C232" s="325"/>
      <c r="D232" s="326"/>
      <c r="E232" s="311"/>
      <c r="F232" s="336"/>
      <c r="G232" s="336"/>
      <c r="H232" s="336"/>
      <c r="I232" s="336"/>
      <c r="J232" s="336"/>
      <c r="K232" s="337"/>
      <c r="L232" s="337"/>
      <c r="M232" s="263">
        <f t="shared" si="15"/>
        <v>0</v>
      </c>
      <c r="N232" s="264">
        <f t="shared" si="9"/>
        <v>0</v>
      </c>
      <c r="O232" s="270"/>
      <c r="P232" s="478"/>
      <c r="Q232" s="177"/>
      <c r="R232" s="178"/>
      <c r="S232" s="179"/>
      <c r="T232" s="180"/>
      <c r="U232" s="305"/>
      <c r="V232" s="180"/>
      <c r="W232" s="288"/>
      <c r="Y232" s="29"/>
      <c r="Z232" s="30"/>
      <c r="AA232" s="289"/>
      <c r="AB232" s="290"/>
      <c r="AC232" s="291"/>
      <c r="AD232" s="292"/>
      <c r="AE232" s="293"/>
      <c r="AF232" s="293"/>
      <c r="AG232" s="293"/>
      <c r="AH232" s="294"/>
      <c r="AI232" s="255"/>
      <c r="AJ232" s="23"/>
    </row>
    <row r="233" spans="1:36" s="14" customFormat="1" ht="16.5" hidden="1" thickBot="1">
      <c r="A233" s="1003"/>
      <c r="B233" s="844"/>
      <c r="C233" s="325"/>
      <c r="D233" s="326"/>
      <c r="E233" s="311"/>
      <c r="F233" s="336"/>
      <c r="G233" s="336"/>
      <c r="H233" s="336"/>
      <c r="I233" s="336"/>
      <c r="J233" s="336"/>
      <c r="K233" s="337"/>
      <c r="L233" s="337"/>
      <c r="M233" s="263">
        <f t="shared" si="15"/>
        <v>0</v>
      </c>
      <c r="N233" s="264">
        <f t="shared" si="9"/>
        <v>0</v>
      </c>
      <c r="O233" s="270"/>
      <c r="P233" s="478"/>
      <c r="Q233" s="177"/>
      <c r="R233" s="178"/>
      <c r="S233" s="179"/>
      <c r="T233" s="180"/>
      <c r="U233" s="305"/>
      <c r="V233" s="180"/>
      <c r="W233" s="288"/>
      <c r="Y233" s="29"/>
      <c r="Z233" s="30"/>
      <c r="AA233" s="289"/>
      <c r="AB233" s="290"/>
      <c r="AC233" s="291"/>
      <c r="AD233" s="292"/>
      <c r="AE233" s="293"/>
      <c r="AF233" s="293"/>
      <c r="AG233" s="293"/>
      <c r="AH233" s="294"/>
      <c r="AI233" s="255"/>
      <c r="AJ233" s="23"/>
    </row>
    <row r="234" spans="1:36" s="14" customFormat="1" ht="16.5" hidden="1" thickBot="1">
      <c r="A234" s="643"/>
      <c r="B234" s="323"/>
      <c r="C234" s="325"/>
      <c r="D234" s="326"/>
      <c r="E234" s="311"/>
      <c r="F234" s="336"/>
      <c r="G234" s="336"/>
      <c r="H234" s="336"/>
      <c r="I234" s="336"/>
      <c r="J234" s="336"/>
      <c r="K234" s="337"/>
      <c r="L234" s="337"/>
      <c r="M234" s="263">
        <f t="shared" si="15"/>
        <v>0</v>
      </c>
      <c r="N234" s="264">
        <f t="shared" si="9"/>
        <v>0</v>
      </c>
      <c r="O234" s="270"/>
      <c r="P234" s="478"/>
      <c r="Q234" s="177"/>
      <c r="R234" s="178"/>
      <c r="S234" s="179"/>
      <c r="T234" s="546"/>
      <c r="U234" s="305"/>
      <c r="V234" s="180"/>
      <c r="W234" s="288"/>
      <c r="Y234" s="29"/>
      <c r="Z234" s="30"/>
      <c r="AA234" s="289"/>
      <c r="AB234" s="290"/>
      <c r="AC234" s="291"/>
      <c r="AD234" s="292"/>
      <c r="AE234" s="293"/>
      <c r="AF234" s="293"/>
      <c r="AG234" s="293"/>
      <c r="AH234" s="294"/>
      <c r="AI234" s="255"/>
      <c r="AJ234" s="23"/>
    </row>
    <row r="235" spans="1:36" s="14" customFormat="1" ht="16.5" hidden="1" thickBot="1">
      <c r="A235" s="643"/>
      <c r="B235" s="333"/>
      <c r="C235" s="334"/>
      <c r="D235" s="326"/>
      <c r="E235" s="311"/>
      <c r="F235" s="336"/>
      <c r="G235" s="336"/>
      <c r="H235" s="336"/>
      <c r="I235" s="336"/>
      <c r="J235" s="336"/>
      <c r="K235" s="337"/>
      <c r="L235" s="337"/>
      <c r="M235" s="263">
        <f t="shared" si="15"/>
        <v>0</v>
      </c>
      <c r="N235" s="264">
        <f t="shared" si="9"/>
        <v>0</v>
      </c>
      <c r="O235" s="270"/>
      <c r="P235" s="478"/>
      <c r="Q235" s="177"/>
      <c r="R235" s="178"/>
      <c r="S235" s="179"/>
      <c r="T235" s="546"/>
      <c r="U235" s="305"/>
      <c r="V235" s="180"/>
      <c r="W235" s="288"/>
      <c r="Y235" s="29"/>
      <c r="Z235" s="30"/>
      <c r="AA235" s="289"/>
      <c r="AB235" s="290"/>
      <c r="AC235" s="291"/>
      <c r="AD235" s="292"/>
      <c r="AE235" s="293"/>
      <c r="AF235" s="293"/>
      <c r="AG235" s="293"/>
      <c r="AH235" s="294"/>
      <c r="AI235" s="255"/>
      <c r="AJ235" s="23"/>
    </row>
    <row r="236" spans="1:36" s="14" customFormat="1" ht="16.5" hidden="1" thickBot="1">
      <c r="A236" s="643"/>
      <c r="B236" s="656"/>
      <c r="C236" s="334"/>
      <c r="D236" s="326"/>
      <c r="E236" s="311"/>
      <c r="F236" s="336"/>
      <c r="G236" s="336"/>
      <c r="H236" s="336"/>
      <c r="I236" s="336"/>
      <c r="J236" s="336"/>
      <c r="K236" s="337"/>
      <c r="L236" s="337"/>
      <c r="M236" s="263">
        <f t="shared" si="15"/>
        <v>0</v>
      </c>
      <c r="N236" s="264">
        <f t="shared" si="9"/>
        <v>0</v>
      </c>
      <c r="O236" s="270"/>
      <c r="P236" s="478"/>
      <c r="Q236" s="177"/>
      <c r="R236" s="178"/>
      <c r="S236" s="179"/>
      <c r="T236" s="180"/>
      <c r="U236" s="305"/>
      <c r="V236" s="180"/>
      <c r="W236" s="288"/>
      <c r="Y236" s="332"/>
      <c r="Z236" s="30"/>
      <c r="AA236" s="289"/>
      <c r="AB236" s="290"/>
      <c r="AC236" s="291"/>
      <c r="AD236" s="292"/>
      <c r="AE236" s="293"/>
      <c r="AF236" s="293"/>
      <c r="AG236" s="293"/>
      <c r="AH236" s="294"/>
      <c r="AI236" s="255"/>
      <c r="AJ236" s="23"/>
    </row>
    <row r="237" spans="1:35" ht="16.5" hidden="1" thickBot="1">
      <c r="A237" s="643"/>
      <c r="B237" s="656"/>
      <c r="C237" s="334"/>
      <c r="D237" s="326"/>
      <c r="E237" s="311"/>
      <c r="F237" s="336"/>
      <c r="G237" s="336"/>
      <c r="H237" s="336"/>
      <c r="I237" s="336"/>
      <c r="J237" s="336"/>
      <c r="K237" s="337"/>
      <c r="L237" s="337"/>
      <c r="M237" s="263">
        <f t="shared" si="15"/>
        <v>0</v>
      </c>
      <c r="N237" s="264">
        <f t="shared" si="9"/>
        <v>0</v>
      </c>
      <c r="O237" s="270"/>
      <c r="P237" s="478"/>
      <c r="Q237" s="177"/>
      <c r="R237" s="178"/>
      <c r="S237" s="179"/>
      <c r="T237" s="180"/>
      <c r="U237" s="305"/>
      <c r="V237" s="180"/>
      <c r="W237" s="288"/>
      <c r="AA237" s="314"/>
      <c r="AB237" s="315"/>
      <c r="AC237" s="316"/>
      <c r="AD237" s="317"/>
      <c r="AE237" s="318"/>
      <c r="AF237" s="318"/>
      <c r="AG237" s="318"/>
      <c r="AH237" s="319"/>
      <c r="AI237" s="320"/>
    </row>
    <row r="238" spans="1:35" ht="16.5" hidden="1" thickBot="1">
      <c r="A238" s="645"/>
      <c r="B238" s="646"/>
      <c r="C238" s="340"/>
      <c r="D238" s="341"/>
      <c r="E238" s="845"/>
      <c r="F238" s="343"/>
      <c r="G238" s="343"/>
      <c r="H238" s="343"/>
      <c r="I238" s="343"/>
      <c r="J238" s="343"/>
      <c r="K238" s="337"/>
      <c r="L238" s="337"/>
      <c r="M238" s="263">
        <f t="shared" si="15"/>
        <v>0</v>
      </c>
      <c r="N238" s="264">
        <f t="shared" si="9"/>
        <v>0</v>
      </c>
      <c r="O238" s="270"/>
      <c r="P238" s="478"/>
      <c r="Q238" s="177"/>
      <c r="R238" s="178"/>
      <c r="S238" s="179"/>
      <c r="T238" s="180"/>
      <c r="U238" s="305"/>
      <c r="V238" s="180"/>
      <c r="W238" s="288"/>
      <c r="AA238" s="314"/>
      <c r="AB238" s="315"/>
      <c r="AC238" s="316"/>
      <c r="AD238" s="317"/>
      <c r="AE238" s="318"/>
      <c r="AF238" s="318"/>
      <c r="AG238" s="318"/>
      <c r="AH238" s="319"/>
      <c r="AI238" s="320"/>
    </row>
    <row r="239" spans="1:36" s="233" customFormat="1" ht="36" customHeight="1" thickBot="1">
      <c r="A239" s="422" t="s">
        <v>244</v>
      </c>
      <c r="B239" s="345" t="s">
        <v>245</v>
      </c>
      <c r="C239" s="346"/>
      <c r="D239" s="347" t="s">
        <v>47</v>
      </c>
      <c r="E239" s="348">
        <f>SUM(E240:E241)</f>
        <v>0.35</v>
      </c>
      <c r="F239" s="349">
        <f>SUM(F240:F241)</f>
        <v>118000</v>
      </c>
      <c r="G239" s="349"/>
      <c r="H239" s="349"/>
      <c r="I239" s="349"/>
      <c r="J239" s="349"/>
      <c r="K239" s="350"/>
      <c r="L239" s="350"/>
      <c r="M239" s="263"/>
      <c r="N239" s="264">
        <f t="shared" si="9"/>
        <v>0</v>
      </c>
      <c r="O239" s="351"/>
      <c r="P239" s="503"/>
      <c r="Q239" s="226"/>
      <c r="R239" s="227"/>
      <c r="S239" s="228"/>
      <c r="T239" s="229"/>
      <c r="U239" s="426"/>
      <c r="V239" s="229"/>
      <c r="W239" s="818"/>
      <c r="Y239" s="232"/>
      <c r="Z239" s="234"/>
      <c r="AA239" s="352">
        <f>F241</f>
        <v>118000</v>
      </c>
      <c r="AB239" s="541"/>
      <c r="AC239" s="353"/>
      <c r="AD239" s="354"/>
      <c r="AE239" s="355"/>
      <c r="AF239" s="355"/>
      <c r="AG239" s="355"/>
      <c r="AH239" s="356"/>
      <c r="AI239" s="239" t="str">
        <f>IF(F239=AA239+AB239+AC239+AD239+AH239,"ОК")</f>
        <v>ОК</v>
      </c>
      <c r="AJ239" s="240"/>
    </row>
    <row r="240" spans="1:36" s="14" customFormat="1" ht="15.75">
      <c r="A240" s="596"/>
      <c r="B240" s="846" t="s">
        <v>246</v>
      </c>
      <c r="C240" s="374"/>
      <c r="D240" s="363"/>
      <c r="E240" s="847"/>
      <c r="F240" s="375"/>
      <c r="G240" s="375"/>
      <c r="H240" s="375"/>
      <c r="I240" s="375"/>
      <c r="J240" s="375"/>
      <c r="K240" s="269"/>
      <c r="L240" s="269"/>
      <c r="M240" s="263"/>
      <c r="N240" s="264"/>
      <c r="O240" s="270"/>
      <c r="P240" s="478"/>
      <c r="Q240" s="177"/>
      <c r="R240" s="178"/>
      <c r="S240" s="179"/>
      <c r="T240" s="180"/>
      <c r="U240" s="305"/>
      <c r="V240" s="180"/>
      <c r="W240" s="288"/>
      <c r="Y240" s="29"/>
      <c r="Z240" s="30"/>
      <c r="AA240" s="289"/>
      <c r="AB240" s="290"/>
      <c r="AC240" s="291"/>
      <c r="AD240" s="292"/>
      <c r="AE240" s="293"/>
      <c r="AF240" s="293"/>
      <c r="AG240" s="293"/>
      <c r="AH240" s="294"/>
      <c r="AI240" s="255"/>
      <c r="AJ240" s="23"/>
    </row>
    <row r="241" spans="1:36" s="14" customFormat="1" ht="63.75" thickBot="1">
      <c r="A241" s="596"/>
      <c r="B241" s="848" t="s">
        <v>156</v>
      </c>
      <c r="C241" s="374" t="s">
        <v>247</v>
      </c>
      <c r="D241" s="363" t="s">
        <v>47</v>
      </c>
      <c r="E241" s="847">
        <v>0.35</v>
      </c>
      <c r="F241" s="375">
        <v>118000</v>
      </c>
      <c r="G241" s="375" t="s">
        <v>78</v>
      </c>
      <c r="H241" s="375" t="s">
        <v>79</v>
      </c>
      <c r="I241" s="599" t="s">
        <v>66</v>
      </c>
      <c r="J241" s="260" t="s">
        <v>72</v>
      </c>
      <c r="K241" s="269"/>
      <c r="L241" s="269"/>
      <c r="M241" s="263">
        <f>F241-N241</f>
        <v>21291.350000000006</v>
      </c>
      <c r="N241" s="264">
        <f>SUM(O241:Z241)</f>
        <v>96708.65</v>
      </c>
      <c r="O241" s="270"/>
      <c r="P241" s="478"/>
      <c r="Q241" s="177"/>
      <c r="R241" s="178">
        <v>96708.65</v>
      </c>
      <c r="S241" s="179"/>
      <c r="T241" s="180"/>
      <c r="U241" s="305"/>
      <c r="V241" s="180"/>
      <c r="W241" s="288"/>
      <c r="Y241" s="29"/>
      <c r="Z241" s="30"/>
      <c r="AA241" s="289"/>
      <c r="AB241" s="290"/>
      <c r="AC241" s="291"/>
      <c r="AD241" s="292"/>
      <c r="AE241" s="293"/>
      <c r="AF241" s="293"/>
      <c r="AG241" s="293"/>
      <c r="AH241" s="294"/>
      <c r="AI241" s="255"/>
      <c r="AJ241" s="23"/>
    </row>
    <row r="242" spans="1:36" s="867" customFormat="1" ht="63.75" thickBot="1">
      <c r="A242" s="849" t="s">
        <v>248</v>
      </c>
      <c r="B242" s="850" t="s">
        <v>249</v>
      </c>
      <c r="C242" s="851" t="s">
        <v>250</v>
      </c>
      <c r="D242" s="852"/>
      <c r="E242" s="853"/>
      <c r="F242" s="854">
        <f>488000+300000</f>
        <v>788000</v>
      </c>
      <c r="G242" s="854"/>
      <c r="H242" s="854"/>
      <c r="I242" s="855" t="s">
        <v>66</v>
      </c>
      <c r="J242" s="856" t="s">
        <v>72</v>
      </c>
      <c r="K242" s="857"/>
      <c r="L242" s="857"/>
      <c r="M242" s="858">
        <f>F242-N242</f>
        <v>528711.62</v>
      </c>
      <c r="N242" s="859">
        <f>SUM(O242:Z242)</f>
        <v>259288.38</v>
      </c>
      <c r="O242" s="860"/>
      <c r="P242" s="861">
        <v>6619.99</v>
      </c>
      <c r="Q242" s="861">
        <v>252668.39</v>
      </c>
      <c r="R242" s="862"/>
      <c r="S242" s="863"/>
      <c r="T242" s="864"/>
      <c r="U242" s="865"/>
      <c r="V242" s="864"/>
      <c r="W242" s="866"/>
      <c r="Y242" s="868"/>
      <c r="Z242" s="869"/>
      <c r="AA242" s="870">
        <f>F242</f>
        <v>788000</v>
      </c>
      <c r="AB242" s="871"/>
      <c r="AC242" s="872"/>
      <c r="AD242" s="873"/>
      <c r="AE242" s="874"/>
      <c r="AF242" s="874"/>
      <c r="AG242" s="874"/>
      <c r="AH242" s="875"/>
      <c r="AI242" s="876" t="str">
        <f>IF(F242=AA242+AB242+AC242+AD242+AH242,"ОК")</f>
        <v>ОК</v>
      </c>
      <c r="AJ242" s="877"/>
    </row>
    <row r="243" spans="1:36" s="867" customFormat="1" ht="63.75" thickBot="1">
      <c r="A243" s="849" t="s">
        <v>251</v>
      </c>
      <c r="B243" s="850" t="s">
        <v>249</v>
      </c>
      <c r="C243" s="851" t="s">
        <v>252</v>
      </c>
      <c r="D243" s="852"/>
      <c r="E243" s="853"/>
      <c r="F243" s="854">
        <v>979000</v>
      </c>
      <c r="G243" s="854"/>
      <c r="H243" s="854"/>
      <c r="I243" s="855" t="s">
        <v>66</v>
      </c>
      <c r="J243" s="856" t="s">
        <v>72</v>
      </c>
      <c r="K243" s="857"/>
      <c r="L243" s="857"/>
      <c r="M243" s="858">
        <f>F243-N243</f>
        <v>472141.8300000001</v>
      </c>
      <c r="N243" s="859">
        <f>SUM(O243:Z243)</f>
        <v>506858.1699999999</v>
      </c>
      <c r="O243" s="878">
        <v>43328.18</v>
      </c>
      <c r="P243" s="861">
        <v>118553.4</v>
      </c>
      <c r="Q243" s="861">
        <v>294509.48</v>
      </c>
      <c r="R243" s="862">
        <f>13846.59+36620.52</f>
        <v>50467.11</v>
      </c>
      <c r="S243" s="863"/>
      <c r="T243" s="864"/>
      <c r="U243" s="865"/>
      <c r="V243" s="864"/>
      <c r="W243" s="866"/>
      <c r="Y243" s="868"/>
      <c r="Z243" s="869"/>
      <c r="AA243" s="870">
        <f>F243</f>
        <v>979000</v>
      </c>
      <c r="AB243" s="871"/>
      <c r="AC243" s="872"/>
      <c r="AD243" s="873"/>
      <c r="AE243" s="874"/>
      <c r="AF243" s="874"/>
      <c r="AG243" s="874"/>
      <c r="AH243" s="875"/>
      <c r="AI243" s="876" t="str">
        <f>IF(F243=AA243+AB243+AC243+AD243+AH243,"ОК")</f>
        <v>ОК</v>
      </c>
      <c r="AJ243" s="877"/>
    </row>
    <row r="244" spans="1:36" s="867" customFormat="1" ht="63.75" thickBot="1">
      <c r="A244" s="849" t="s">
        <v>253</v>
      </c>
      <c r="B244" s="850" t="s">
        <v>249</v>
      </c>
      <c r="C244" s="851" t="s">
        <v>254</v>
      </c>
      <c r="D244" s="852"/>
      <c r="E244" s="853"/>
      <c r="F244" s="879">
        <v>147000</v>
      </c>
      <c r="G244" s="879"/>
      <c r="H244" s="879"/>
      <c r="I244" s="855" t="s">
        <v>66</v>
      </c>
      <c r="J244" s="856" t="s">
        <v>72</v>
      </c>
      <c r="K244" s="880"/>
      <c r="L244" s="880"/>
      <c r="M244" s="858">
        <f>F244-N244</f>
        <v>135664.37</v>
      </c>
      <c r="N244" s="859">
        <f>SUM(O244:Z244)</f>
        <v>11335.63</v>
      </c>
      <c r="O244" s="860"/>
      <c r="P244" s="861">
        <v>3617.79</v>
      </c>
      <c r="Q244" s="861">
        <v>2254.69</v>
      </c>
      <c r="R244" s="862">
        <v>5463.15</v>
      </c>
      <c r="S244" s="863"/>
      <c r="T244" s="864"/>
      <c r="U244" s="865"/>
      <c r="V244" s="864"/>
      <c r="W244" s="866"/>
      <c r="Y244" s="868"/>
      <c r="Z244" s="869"/>
      <c r="AA244" s="870">
        <f>F244</f>
        <v>147000</v>
      </c>
      <c r="AB244" s="871"/>
      <c r="AC244" s="872"/>
      <c r="AD244" s="873"/>
      <c r="AE244" s="874"/>
      <c r="AF244" s="874"/>
      <c r="AG244" s="874"/>
      <c r="AH244" s="875"/>
      <c r="AI244" s="876" t="str">
        <f>IF(F244=AA244+AB244+AC244+AD244+AH244,"ОК")</f>
        <v>ОК</v>
      </c>
      <c r="AJ244" s="877"/>
    </row>
    <row r="245" spans="1:36" s="867" customFormat="1" ht="63.75" thickBot="1">
      <c r="A245" s="849" t="s">
        <v>255</v>
      </c>
      <c r="B245" s="850" t="s">
        <v>249</v>
      </c>
      <c r="C245" s="851" t="s">
        <v>256</v>
      </c>
      <c r="D245" s="852"/>
      <c r="E245" s="853"/>
      <c r="F245" s="879">
        <v>200000</v>
      </c>
      <c r="G245" s="879"/>
      <c r="H245" s="879"/>
      <c r="I245" s="855" t="s">
        <v>66</v>
      </c>
      <c r="J245" s="856" t="s">
        <v>72</v>
      </c>
      <c r="K245" s="880"/>
      <c r="L245" s="880"/>
      <c r="M245" s="858">
        <f>F245-N245</f>
        <v>200000</v>
      </c>
      <c r="N245" s="859">
        <f>SUM(O245:Z245)</f>
        <v>0</v>
      </c>
      <c r="O245" s="860"/>
      <c r="P245" s="861"/>
      <c r="Q245" s="861"/>
      <c r="R245" s="862"/>
      <c r="S245" s="863"/>
      <c r="T245" s="864"/>
      <c r="U245" s="865"/>
      <c r="V245" s="864"/>
      <c r="W245" s="881"/>
      <c r="Y245" s="868"/>
      <c r="Z245" s="869"/>
      <c r="AA245" s="870">
        <f>F245</f>
        <v>200000</v>
      </c>
      <c r="AB245" s="882"/>
      <c r="AC245" s="872"/>
      <c r="AD245" s="873"/>
      <c r="AE245" s="874"/>
      <c r="AF245" s="874"/>
      <c r="AG245" s="874"/>
      <c r="AH245" s="875"/>
      <c r="AI245" s="876" t="str">
        <f>IF(F245=AA245+AB245+AC245+AD245+AH245,"ОК")</f>
        <v>ОК</v>
      </c>
      <c r="AJ245" s="877"/>
    </row>
    <row r="246" spans="1:36" s="867" customFormat="1" ht="16.5" hidden="1" thickBot="1">
      <c r="A246" s="883" t="s">
        <v>257</v>
      </c>
      <c r="B246" s="884" t="s">
        <v>258</v>
      </c>
      <c r="C246" s="1004" t="s">
        <v>259</v>
      </c>
      <c r="D246" s="1004"/>
      <c r="E246" s="1004"/>
      <c r="F246" s="885"/>
      <c r="G246" s="885"/>
      <c r="H246" s="885"/>
      <c r="I246" s="885"/>
      <c r="J246" s="885"/>
      <c r="K246" s="886"/>
      <c r="L246" s="886"/>
      <c r="M246" s="858"/>
      <c r="N246" s="859"/>
      <c r="O246" s="887"/>
      <c r="P246" s="861"/>
      <c r="Q246" s="888"/>
      <c r="R246" s="889"/>
      <c r="S246" s="890"/>
      <c r="T246" s="891"/>
      <c r="U246" s="892"/>
      <c r="V246" s="864"/>
      <c r="W246" s="868"/>
      <c r="Y246" s="868"/>
      <c r="Z246" s="869"/>
      <c r="AA246" s="870">
        <f>F246</f>
        <v>0</v>
      </c>
      <c r="AB246" s="871"/>
      <c r="AC246" s="872"/>
      <c r="AD246" s="873"/>
      <c r="AE246" s="874"/>
      <c r="AF246" s="874"/>
      <c r="AG246" s="874"/>
      <c r="AH246" s="875"/>
      <c r="AI246" s="876" t="str">
        <f>IF(F246=AA246+AB246+AC246+AD246+AH246,"ОК")</f>
        <v>ОК</v>
      </c>
      <c r="AJ246" s="877"/>
    </row>
    <row r="247" spans="1:36" s="911" customFormat="1" ht="27.75" customHeight="1" hidden="1" thickBot="1">
      <c r="A247" s="893"/>
      <c r="B247" s="894" t="s">
        <v>260</v>
      </c>
      <c r="C247" s="895"/>
      <c r="D247" s="896"/>
      <c r="E247" s="853"/>
      <c r="F247" s="897"/>
      <c r="G247" s="897"/>
      <c r="H247" s="897"/>
      <c r="I247" s="897"/>
      <c r="J247" s="897"/>
      <c r="K247" s="898"/>
      <c r="L247" s="898"/>
      <c r="M247" s="899">
        <f>SUM(M31:M245)</f>
        <v>9044651.729999999</v>
      </c>
      <c r="N247" s="900">
        <f aca="true" t="shared" si="16" ref="N247:Y247">SUM(N37:N245)</f>
        <v>3165543.27</v>
      </c>
      <c r="O247" s="901">
        <f t="shared" si="16"/>
        <v>43328.18</v>
      </c>
      <c r="P247" s="901">
        <f t="shared" si="16"/>
        <v>128791.18</v>
      </c>
      <c r="Q247" s="901">
        <f t="shared" si="16"/>
        <v>1018595.96</v>
      </c>
      <c r="R247" s="902">
        <f t="shared" si="16"/>
        <v>1974827.95</v>
      </c>
      <c r="S247" s="901">
        <f t="shared" si="16"/>
        <v>0</v>
      </c>
      <c r="T247" s="903">
        <f t="shared" si="16"/>
        <v>0</v>
      </c>
      <c r="U247" s="901">
        <f t="shared" si="16"/>
        <v>0</v>
      </c>
      <c r="V247" s="903">
        <f t="shared" si="16"/>
        <v>0</v>
      </c>
      <c r="W247" s="901">
        <f t="shared" si="16"/>
        <v>0</v>
      </c>
      <c r="X247" s="903">
        <f t="shared" si="16"/>
        <v>0</v>
      </c>
      <c r="Y247" s="901">
        <f t="shared" si="16"/>
        <v>0</v>
      </c>
      <c r="Z247" s="904">
        <f>SUM(Z30:Z245)</f>
        <v>0</v>
      </c>
      <c r="AA247" s="905"/>
      <c r="AB247" s="906"/>
      <c r="AC247" s="907"/>
      <c r="AD247" s="908"/>
      <c r="AE247" s="909"/>
      <c r="AF247" s="909"/>
      <c r="AG247" s="909"/>
      <c r="AH247" s="910"/>
      <c r="AJ247" s="912"/>
    </row>
    <row r="248" spans="1:36" s="867" customFormat="1" ht="63.75" thickBot="1">
      <c r="A248" s="913" t="s">
        <v>261</v>
      </c>
      <c r="B248" s="914" t="s">
        <v>262</v>
      </c>
      <c r="C248" s="1005" t="s">
        <v>263</v>
      </c>
      <c r="D248" s="1005"/>
      <c r="E248" s="1005"/>
      <c r="F248" s="915">
        <v>4302457</v>
      </c>
      <c r="G248" s="915"/>
      <c r="H248" s="915"/>
      <c r="I248" s="855" t="s">
        <v>66</v>
      </c>
      <c r="J248" s="856" t="s">
        <v>72</v>
      </c>
      <c r="K248" s="886"/>
      <c r="L248" s="886"/>
      <c r="M248" s="916"/>
      <c r="N248" s="917"/>
      <c r="O248" s="918">
        <f aca="true" t="shared" si="17" ref="O248:Y248">SUM(O31:O246)</f>
        <v>43328.18</v>
      </c>
      <c r="P248" s="918">
        <f t="shared" si="17"/>
        <v>128791.18</v>
      </c>
      <c r="Q248" s="918">
        <f t="shared" si="17"/>
        <v>1018595.96</v>
      </c>
      <c r="R248" s="919">
        <f t="shared" si="17"/>
        <v>1974827.95</v>
      </c>
      <c r="S248" s="918">
        <f t="shared" si="17"/>
        <v>0</v>
      </c>
      <c r="T248" s="920">
        <f t="shared" si="17"/>
        <v>0</v>
      </c>
      <c r="U248" s="918">
        <f t="shared" si="17"/>
        <v>0</v>
      </c>
      <c r="V248" s="920">
        <f t="shared" si="17"/>
        <v>0</v>
      </c>
      <c r="W248" s="918">
        <f t="shared" si="17"/>
        <v>0</v>
      </c>
      <c r="X248" s="920">
        <f t="shared" si="17"/>
        <v>0</v>
      </c>
      <c r="Y248" s="918">
        <f t="shared" si="17"/>
        <v>0</v>
      </c>
      <c r="Z248" s="918">
        <f>SUM(Z31:Z246)</f>
        <v>0</v>
      </c>
      <c r="AA248" s="921">
        <f aca="true" t="shared" si="18" ref="AA248:AH248">SUM(AA22:AA245)</f>
        <v>11830195</v>
      </c>
      <c r="AB248" s="922">
        <f t="shared" si="18"/>
        <v>380000</v>
      </c>
      <c r="AC248" s="923">
        <f t="shared" si="18"/>
        <v>0</v>
      </c>
      <c r="AD248" s="922">
        <f t="shared" si="18"/>
        <v>0</v>
      </c>
      <c r="AE248" s="924">
        <f t="shared" si="18"/>
        <v>0</v>
      </c>
      <c r="AF248" s="924">
        <f t="shared" si="18"/>
        <v>0</v>
      </c>
      <c r="AG248" s="924">
        <f t="shared" si="18"/>
        <v>0</v>
      </c>
      <c r="AH248" s="923">
        <f t="shared" si="18"/>
        <v>0</v>
      </c>
      <c r="AI248" s="925"/>
      <c r="AJ248" s="877"/>
    </row>
    <row r="249" spans="1:36" s="14" customFormat="1" ht="18.75" customHeight="1">
      <c r="A249" s="926"/>
      <c r="B249" s="39"/>
      <c r="C249" s="927"/>
      <c r="D249" s="928"/>
      <c r="E249" s="929"/>
      <c r="F249" s="930"/>
      <c r="G249" s="930"/>
      <c r="H249" s="930"/>
      <c r="I249" s="930"/>
      <c r="J249" s="930"/>
      <c r="K249" s="930"/>
      <c r="L249" s="930"/>
      <c r="M249" s="931">
        <f>M247+F248+N247</f>
        <v>16512651.999999998</v>
      </c>
      <c r="N249" s="174"/>
      <c r="O249" s="270"/>
      <c r="P249" s="265"/>
      <c r="Q249" s="270"/>
      <c r="R249" s="932"/>
      <c r="S249" s="181"/>
      <c r="T249" s="182"/>
      <c r="U249" s="181"/>
      <c r="V249" s="180"/>
      <c r="W249" s="29"/>
      <c r="Y249" s="29"/>
      <c r="Z249" s="30"/>
      <c r="AA249" s="31"/>
      <c r="AB249" s="32"/>
      <c r="AC249" s="33"/>
      <c r="AD249" s="34"/>
      <c r="AE249" s="35"/>
      <c r="AF249" s="35"/>
      <c r="AG249" s="35"/>
      <c r="AH249" s="36"/>
      <c r="AI249" s="22"/>
      <c r="AJ249" s="23"/>
    </row>
    <row r="250" spans="1:36" s="14" customFormat="1" ht="31.5">
      <c r="A250" s="926"/>
      <c r="B250" s="43" t="s">
        <v>264</v>
      </c>
      <c r="C250" s="927"/>
      <c r="D250" s="49"/>
      <c r="E250" s="1006" t="s">
        <v>265</v>
      </c>
      <c r="F250" s="1006"/>
      <c r="G250" s="933"/>
      <c r="H250" s="933"/>
      <c r="I250" s="933"/>
      <c r="J250" s="933"/>
      <c r="K250" s="933"/>
      <c r="L250" s="933"/>
      <c r="M250" s="934" t="str">
        <f>IF(F248+M247+N247=F22,"ОК")</f>
        <v>ОК</v>
      </c>
      <c r="N250" s="174"/>
      <c r="O250" s="935"/>
      <c r="P250" s="663"/>
      <c r="Q250" s="270"/>
      <c r="R250" s="932"/>
      <c r="S250" s="181"/>
      <c r="T250" s="182"/>
      <c r="U250" s="181"/>
      <c r="V250" s="180"/>
      <c r="W250" s="29"/>
      <c r="Y250" s="29"/>
      <c r="Z250" s="30"/>
      <c r="AA250" s="936"/>
      <c r="AB250" s="32"/>
      <c r="AC250" s="33"/>
      <c r="AD250" s="34"/>
      <c r="AE250" s="35"/>
      <c r="AF250" s="35"/>
      <c r="AG250" s="35"/>
      <c r="AH250" s="36"/>
      <c r="AI250" s="22"/>
      <c r="AJ250" s="23"/>
    </row>
    <row r="251" spans="1:112" s="32" customFormat="1" ht="15.75">
      <c r="A251" s="926"/>
      <c r="B251" s="937"/>
      <c r="C251" s="47"/>
      <c r="D251" s="928"/>
      <c r="E251" s="933"/>
      <c r="F251" s="938"/>
      <c r="G251" s="938"/>
      <c r="H251" s="938"/>
      <c r="I251" s="938"/>
      <c r="J251" s="938"/>
      <c r="K251" s="938"/>
      <c r="L251" s="938"/>
      <c r="M251" s="939">
        <f>M249-F22</f>
        <v>0</v>
      </c>
      <c r="N251" s="174"/>
      <c r="O251" s="940"/>
      <c r="P251" s="663"/>
      <c r="Q251" s="270"/>
      <c r="R251" s="932"/>
      <c r="S251" s="181"/>
      <c r="T251" s="182"/>
      <c r="U251" s="181"/>
      <c r="V251" s="180"/>
      <c r="W251" s="29"/>
      <c r="X251" s="14"/>
      <c r="Y251" s="941"/>
      <c r="Z251" s="30"/>
      <c r="AA251" s="942"/>
      <c r="AC251" s="33"/>
      <c r="AD251" s="34"/>
      <c r="AE251" s="35"/>
      <c r="AF251" s="35"/>
      <c r="AG251" s="35"/>
      <c r="AH251" s="36"/>
      <c r="AI251" s="22"/>
      <c r="AJ251" s="23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</row>
    <row r="252" spans="1:112" s="32" customFormat="1" ht="15.75">
      <c r="A252" s="62"/>
      <c r="B252" s="39" t="s">
        <v>266</v>
      </c>
      <c r="C252" s="927"/>
      <c r="D252" s="49"/>
      <c r="E252" s="40"/>
      <c r="F252" s="943"/>
      <c r="G252" s="943"/>
      <c r="H252" s="943"/>
      <c r="I252" s="943"/>
      <c r="J252" s="943"/>
      <c r="K252" s="943"/>
      <c r="L252" s="943"/>
      <c r="M252" s="944">
        <f>F22-M249</f>
        <v>0</v>
      </c>
      <c r="N252" s="51"/>
      <c r="O252" s="945"/>
      <c r="P252" s="265"/>
      <c r="Q252" s="270"/>
      <c r="R252" s="932"/>
      <c r="S252" s="181"/>
      <c r="T252" s="946"/>
      <c r="U252" s="181"/>
      <c r="V252" s="180"/>
      <c r="W252" s="29"/>
      <c r="X252" s="14"/>
      <c r="Y252" s="29"/>
      <c r="Z252" s="30"/>
      <c r="AA252" s="31"/>
      <c r="AC252" s="33"/>
      <c r="AD252" s="34"/>
      <c r="AE252" s="35"/>
      <c r="AF252" s="35"/>
      <c r="AG252" s="35"/>
      <c r="AH252" s="36"/>
      <c r="AI252" s="22"/>
      <c r="AJ252" s="23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</row>
    <row r="253" spans="1:112" s="32" customFormat="1" ht="15.75">
      <c r="A253" s="62"/>
      <c r="B253" s="39" t="s">
        <v>267</v>
      </c>
      <c r="C253" s="927"/>
      <c r="D253" s="49"/>
      <c r="E253" s="1007" t="s">
        <v>268</v>
      </c>
      <c r="F253" s="1007"/>
      <c r="G253" s="40"/>
      <c r="H253" s="40"/>
      <c r="I253" s="40"/>
      <c r="J253" s="40"/>
      <c r="K253" s="40"/>
      <c r="L253" s="40"/>
      <c r="M253" s="944"/>
      <c r="N253" s="51"/>
      <c r="O253" s="945"/>
      <c r="P253" s="265"/>
      <c r="Q253" s="270"/>
      <c r="R253" s="932"/>
      <c r="S253" s="181"/>
      <c r="T253" s="946"/>
      <c r="U253" s="181"/>
      <c r="V253" s="180"/>
      <c r="W253" s="29"/>
      <c r="X253" s="14"/>
      <c r="Y253" s="29"/>
      <c r="Z253" s="30"/>
      <c r="AA253" s="31"/>
      <c r="AC253" s="33"/>
      <c r="AD253" s="34"/>
      <c r="AE253" s="35"/>
      <c r="AF253" s="35"/>
      <c r="AG253" s="35"/>
      <c r="AH253" s="36"/>
      <c r="AI253" s="22"/>
      <c r="AJ253" s="23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</row>
    <row r="254" spans="1:112" s="32" customFormat="1" ht="15.75">
      <c r="A254" s="62"/>
      <c r="B254" s="947"/>
      <c r="C254" s="927"/>
      <c r="D254" s="49"/>
      <c r="E254" s="948"/>
      <c r="F254" s="949"/>
      <c r="G254" s="949"/>
      <c r="H254" s="949"/>
      <c r="I254" s="949"/>
      <c r="J254" s="949"/>
      <c r="K254" s="949"/>
      <c r="L254" s="949"/>
      <c r="M254" s="950"/>
      <c r="N254" s="951"/>
      <c r="O254" s="270"/>
      <c r="P254" s="265"/>
      <c r="Q254" s="270"/>
      <c r="R254" s="932"/>
      <c r="S254" s="181"/>
      <c r="T254" s="182"/>
      <c r="U254" s="181"/>
      <c r="V254" s="180"/>
      <c r="W254" s="29"/>
      <c r="X254" s="14"/>
      <c r="Y254" s="29"/>
      <c r="Z254" s="30"/>
      <c r="AA254" s="31"/>
      <c r="AC254" s="33"/>
      <c r="AD254" s="34"/>
      <c r="AE254" s="35"/>
      <c r="AF254" s="35"/>
      <c r="AG254" s="35"/>
      <c r="AH254" s="36"/>
      <c r="AI254" s="22"/>
      <c r="AJ254" s="23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</row>
    <row r="255" spans="1:112" s="961" customFormat="1" ht="15.75" hidden="1">
      <c r="A255" s="952"/>
      <c r="B255" s="953"/>
      <c r="C255" s="954"/>
      <c r="D255" s="955"/>
      <c r="E255" s="956"/>
      <c r="F255" s="957"/>
      <c r="G255" s="957"/>
      <c r="H255" s="957"/>
      <c r="I255" s="957"/>
      <c r="J255" s="957"/>
      <c r="K255" s="957"/>
      <c r="L255" s="957"/>
      <c r="M255" s="958"/>
      <c r="N255" s="51"/>
      <c r="O255" s="959"/>
      <c r="P255" s="177"/>
      <c r="Q255" s="270"/>
      <c r="R255" s="932"/>
      <c r="S255" s="181"/>
      <c r="T255" s="182"/>
      <c r="U255" s="181"/>
      <c r="V255" s="180"/>
      <c r="W255" s="29"/>
      <c r="X255" s="14"/>
      <c r="Y255" s="29"/>
      <c r="Z255" s="30"/>
      <c r="AA255" s="960"/>
      <c r="AC255" s="962"/>
      <c r="AD255" s="963"/>
      <c r="AE255" s="964"/>
      <c r="AF255" s="964"/>
      <c r="AG255" s="964"/>
      <c r="AH255" s="965"/>
      <c r="AI255" s="966"/>
      <c r="AJ255" s="321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</row>
    <row r="256" spans="1:112" s="961" customFormat="1" ht="15.75" hidden="1">
      <c r="A256" s="952"/>
      <c r="B256" s="953"/>
      <c r="C256" s="954"/>
      <c r="D256" s="955"/>
      <c r="E256" s="956"/>
      <c r="F256" s="957" t="s">
        <v>269</v>
      </c>
      <c r="G256" s="957" t="s">
        <v>270</v>
      </c>
      <c r="H256" s="957" t="s">
        <v>271</v>
      </c>
      <c r="I256" s="957" t="s">
        <v>272</v>
      </c>
      <c r="J256" s="957" t="s">
        <v>273</v>
      </c>
      <c r="K256" s="957"/>
      <c r="L256" s="957"/>
      <c r="M256" s="967">
        <v>15512652</v>
      </c>
      <c r="N256" s="51"/>
      <c r="O256" s="959"/>
      <c r="P256" s="177"/>
      <c r="Q256" s="270"/>
      <c r="R256" s="932"/>
      <c r="S256" s="181"/>
      <c r="T256" s="182"/>
      <c r="U256" s="181"/>
      <c r="V256" s="180"/>
      <c r="W256" s="29"/>
      <c r="X256" s="14"/>
      <c r="Y256" s="29"/>
      <c r="Z256" s="30"/>
      <c r="AA256" s="960"/>
      <c r="AC256" s="962"/>
      <c r="AD256" s="963"/>
      <c r="AE256" s="964"/>
      <c r="AF256" s="964"/>
      <c r="AG256" s="964"/>
      <c r="AH256" s="965"/>
      <c r="AI256" s="966"/>
      <c r="AJ256" s="321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</row>
    <row r="257" spans="1:112" s="961" customFormat="1" ht="15.75" hidden="1">
      <c r="A257" s="952"/>
      <c r="B257" s="953"/>
      <c r="C257" s="954"/>
      <c r="D257" s="955"/>
      <c r="E257" s="956"/>
      <c r="F257" s="957" t="s">
        <v>274</v>
      </c>
      <c r="G257" s="957" t="s">
        <v>274</v>
      </c>
      <c r="H257" s="957" t="s">
        <v>274</v>
      </c>
      <c r="I257" s="957" t="s">
        <v>274</v>
      </c>
      <c r="J257" s="957" t="s">
        <v>274</v>
      </c>
      <c r="K257" s="957"/>
      <c r="L257" s="957"/>
      <c r="M257" s="967">
        <v>1000000</v>
      </c>
      <c r="N257" s="51"/>
      <c r="O257" s="959"/>
      <c r="P257" s="177"/>
      <c r="Q257" s="270"/>
      <c r="R257" s="932"/>
      <c r="S257" s="181"/>
      <c r="T257" s="182"/>
      <c r="U257" s="181"/>
      <c r="V257" s="180"/>
      <c r="W257" s="29"/>
      <c r="X257" s="14"/>
      <c r="Y257" s="29"/>
      <c r="Z257" s="30"/>
      <c r="AA257" s="960"/>
      <c r="AC257" s="962"/>
      <c r="AD257" s="963"/>
      <c r="AE257" s="964"/>
      <c r="AF257" s="964"/>
      <c r="AG257" s="964"/>
      <c r="AH257" s="965"/>
      <c r="AI257" s="966"/>
      <c r="AJ257" s="321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</row>
    <row r="258" spans="1:112" s="961" customFormat="1" ht="15.75" hidden="1">
      <c r="A258" s="952"/>
      <c r="B258" s="953"/>
      <c r="C258" s="954"/>
      <c r="D258" s="955"/>
      <c r="E258" s="956"/>
      <c r="F258" s="957"/>
      <c r="G258" s="957"/>
      <c r="H258" s="957"/>
      <c r="I258" s="957"/>
      <c r="J258" s="957"/>
      <c r="K258" s="957"/>
      <c r="L258" s="957"/>
      <c r="M258" s="967"/>
      <c r="N258" s="51"/>
      <c r="O258" s="959"/>
      <c r="P258" s="177"/>
      <c r="Q258" s="270"/>
      <c r="R258" s="932"/>
      <c r="S258" s="181"/>
      <c r="T258" s="182"/>
      <c r="U258" s="181"/>
      <c r="V258" s="180"/>
      <c r="W258" s="29"/>
      <c r="X258" s="14"/>
      <c r="Y258" s="29"/>
      <c r="Z258" s="30"/>
      <c r="AA258" s="960"/>
      <c r="AC258" s="962"/>
      <c r="AD258" s="963"/>
      <c r="AE258" s="964"/>
      <c r="AF258" s="964"/>
      <c r="AG258" s="964"/>
      <c r="AH258" s="965"/>
      <c r="AI258" s="966"/>
      <c r="AJ258" s="321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</row>
    <row r="259" spans="1:112" s="961" customFormat="1" ht="15.75" hidden="1">
      <c r="A259" s="952"/>
      <c r="B259" s="953"/>
      <c r="C259" s="954"/>
      <c r="D259" s="955"/>
      <c r="E259" s="956"/>
      <c r="F259" s="957"/>
      <c r="G259" s="957"/>
      <c r="H259" s="957"/>
      <c r="I259" s="957"/>
      <c r="J259" s="957"/>
      <c r="K259" s="957"/>
      <c r="L259" s="957"/>
      <c r="M259" s="967"/>
      <c r="N259" s="51"/>
      <c r="O259" s="959"/>
      <c r="P259" s="177"/>
      <c r="Q259" s="270"/>
      <c r="R259" s="932"/>
      <c r="S259" s="181"/>
      <c r="T259" s="182"/>
      <c r="U259" s="181"/>
      <c r="V259" s="180"/>
      <c r="W259" s="29"/>
      <c r="X259" s="14"/>
      <c r="Y259" s="29"/>
      <c r="Z259" s="30"/>
      <c r="AA259" s="960"/>
      <c r="AC259" s="962"/>
      <c r="AD259" s="963"/>
      <c r="AE259" s="964"/>
      <c r="AF259" s="964"/>
      <c r="AG259" s="964"/>
      <c r="AH259" s="965"/>
      <c r="AI259" s="966"/>
      <c r="AJ259" s="321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</row>
    <row r="260" spans="1:112" s="961" customFormat="1" ht="15.75" hidden="1">
      <c r="A260" s="952"/>
      <c r="B260" s="953"/>
      <c r="C260" s="954"/>
      <c r="D260" s="955"/>
      <c r="E260" s="956"/>
      <c r="F260" s="957"/>
      <c r="G260" s="957"/>
      <c r="H260" s="957"/>
      <c r="I260" s="957"/>
      <c r="J260" s="957"/>
      <c r="K260" s="957"/>
      <c r="L260" s="957"/>
      <c r="M260" s="967"/>
      <c r="N260" s="51"/>
      <c r="O260" s="959"/>
      <c r="P260" s="177"/>
      <c r="Q260" s="270"/>
      <c r="R260" s="932"/>
      <c r="S260" s="181"/>
      <c r="T260" s="182"/>
      <c r="U260" s="181"/>
      <c r="V260" s="180"/>
      <c r="W260" s="29"/>
      <c r="X260" s="14"/>
      <c r="Y260" s="29"/>
      <c r="Z260" s="30"/>
      <c r="AA260" s="960"/>
      <c r="AC260" s="962"/>
      <c r="AD260" s="963"/>
      <c r="AE260" s="964"/>
      <c r="AF260" s="964"/>
      <c r="AG260" s="964"/>
      <c r="AH260" s="965"/>
      <c r="AI260" s="966"/>
      <c r="AJ260" s="321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</row>
    <row r="261" spans="1:112" s="961" customFormat="1" ht="18.75" hidden="1">
      <c r="A261" s="952"/>
      <c r="B261" s="953"/>
      <c r="C261" s="954"/>
      <c r="D261" s="955"/>
      <c r="E261" s="956"/>
      <c r="F261" s="957" t="s">
        <v>275</v>
      </c>
      <c r="G261" s="957" t="s">
        <v>275</v>
      </c>
      <c r="H261" s="957" t="s">
        <v>275</v>
      </c>
      <c r="I261" s="957" t="s">
        <v>275</v>
      </c>
      <c r="J261" s="957" t="s">
        <v>275</v>
      </c>
      <c r="K261" s="957"/>
      <c r="L261" s="957"/>
      <c r="M261" s="968">
        <f>M256+M257-M249</f>
        <v>0</v>
      </c>
      <c r="N261" s="51"/>
      <c r="O261" s="959"/>
      <c r="P261" s="177"/>
      <c r="Q261" s="270"/>
      <c r="R261" s="932"/>
      <c r="S261" s="181"/>
      <c r="T261" s="182"/>
      <c r="U261" s="181"/>
      <c r="V261" s="180"/>
      <c r="W261" s="29"/>
      <c r="X261" s="14"/>
      <c r="Y261" s="29"/>
      <c r="Z261" s="30"/>
      <c r="AA261" s="960"/>
      <c r="AC261" s="962"/>
      <c r="AD261" s="963"/>
      <c r="AE261" s="964"/>
      <c r="AF261" s="964"/>
      <c r="AG261" s="964"/>
      <c r="AH261" s="965"/>
      <c r="AI261" s="966"/>
      <c r="AJ261" s="32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</row>
    <row r="262" spans="1:112" s="961" customFormat="1" ht="15.75" hidden="1">
      <c r="A262" s="952"/>
      <c r="B262" s="953"/>
      <c r="C262" s="954"/>
      <c r="D262" s="955"/>
      <c r="E262" s="956"/>
      <c r="F262" s="957"/>
      <c r="G262" s="957"/>
      <c r="H262" s="957"/>
      <c r="I262" s="957"/>
      <c r="J262" s="957"/>
      <c r="K262" s="957"/>
      <c r="L262" s="957"/>
      <c r="M262" s="958"/>
      <c r="N262" s="51"/>
      <c r="O262" s="959"/>
      <c r="P262" s="177"/>
      <c r="Q262" s="270"/>
      <c r="R262" s="932"/>
      <c r="S262" s="181"/>
      <c r="T262" s="182"/>
      <c r="U262" s="181"/>
      <c r="V262" s="180"/>
      <c r="W262" s="29"/>
      <c r="X262" s="14"/>
      <c r="Y262" s="29"/>
      <c r="Z262" s="30"/>
      <c r="AA262" s="960"/>
      <c r="AC262" s="962"/>
      <c r="AD262" s="963"/>
      <c r="AE262" s="964"/>
      <c r="AF262" s="964"/>
      <c r="AG262" s="964"/>
      <c r="AH262" s="965"/>
      <c r="AI262" s="966"/>
      <c r="AJ262" s="321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</row>
    <row r="263" spans="1:112" s="961" customFormat="1" ht="15.75" hidden="1">
      <c r="A263" s="952"/>
      <c r="B263" s="953"/>
      <c r="C263" s="954"/>
      <c r="D263" s="955"/>
      <c r="E263" s="956"/>
      <c r="F263" s="957"/>
      <c r="G263" s="957"/>
      <c r="H263" s="957"/>
      <c r="I263" s="957"/>
      <c r="J263" s="957"/>
      <c r="K263" s="957"/>
      <c r="L263" s="957"/>
      <c r="M263" s="958"/>
      <c r="N263" s="51"/>
      <c r="O263" s="959"/>
      <c r="P263" s="177"/>
      <c r="Q263" s="270"/>
      <c r="R263" s="932"/>
      <c r="S263" s="181"/>
      <c r="T263" s="182"/>
      <c r="U263" s="181"/>
      <c r="V263" s="180"/>
      <c r="W263" s="29"/>
      <c r="X263" s="14"/>
      <c r="Y263" s="29"/>
      <c r="Z263" s="30"/>
      <c r="AA263" s="960"/>
      <c r="AC263" s="962"/>
      <c r="AD263" s="963"/>
      <c r="AE263" s="964"/>
      <c r="AF263" s="964"/>
      <c r="AG263" s="964"/>
      <c r="AH263" s="965"/>
      <c r="AI263" s="966"/>
      <c r="AJ263" s="321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</row>
    <row r="264" spans="1:112" s="961" customFormat="1" ht="15.75">
      <c r="A264" s="952"/>
      <c r="B264" s="953"/>
      <c r="C264" s="954"/>
      <c r="D264" s="955"/>
      <c r="E264" s="956"/>
      <c r="F264" s="957"/>
      <c r="G264" s="957"/>
      <c r="H264" s="957"/>
      <c r="I264" s="957"/>
      <c r="J264" s="957"/>
      <c r="K264" s="957"/>
      <c r="L264" s="957"/>
      <c r="M264" s="958"/>
      <c r="N264" s="51"/>
      <c r="O264" s="959"/>
      <c r="P264" s="177"/>
      <c r="Q264" s="270"/>
      <c r="R264" s="932"/>
      <c r="S264" s="181"/>
      <c r="T264" s="182"/>
      <c r="U264" s="181"/>
      <c r="V264" s="180"/>
      <c r="W264" s="29"/>
      <c r="X264" s="14"/>
      <c r="Y264" s="29"/>
      <c r="Z264" s="30"/>
      <c r="AA264" s="960"/>
      <c r="AC264" s="962"/>
      <c r="AD264" s="963"/>
      <c r="AE264" s="964"/>
      <c r="AF264" s="964"/>
      <c r="AG264" s="964"/>
      <c r="AH264" s="965"/>
      <c r="AI264" s="966"/>
      <c r="AJ264" s="321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</row>
    <row r="265" spans="1:112" s="961" customFormat="1" ht="15.75">
      <c r="A265" s="952"/>
      <c r="B265" s="953"/>
      <c r="C265" s="954"/>
      <c r="D265" s="955"/>
      <c r="E265" s="956"/>
      <c r="F265" s="957"/>
      <c r="G265" s="957"/>
      <c r="H265" s="957"/>
      <c r="I265" s="957"/>
      <c r="J265" s="957"/>
      <c r="K265" s="957"/>
      <c r="L265" s="957"/>
      <c r="M265" s="958"/>
      <c r="N265" s="51"/>
      <c r="O265" s="969"/>
      <c r="P265" s="970"/>
      <c r="Q265" s="52"/>
      <c r="R265" s="53"/>
      <c r="S265" s="29"/>
      <c r="T265" s="14"/>
      <c r="U265" s="29"/>
      <c r="V265" s="431"/>
      <c r="W265" s="29"/>
      <c r="X265" s="14"/>
      <c r="Y265" s="29"/>
      <c r="Z265" s="30"/>
      <c r="AA265" s="960"/>
      <c r="AC265" s="962"/>
      <c r="AD265" s="963"/>
      <c r="AE265" s="964"/>
      <c r="AF265" s="964"/>
      <c r="AG265" s="964"/>
      <c r="AH265" s="965"/>
      <c r="AI265" s="966"/>
      <c r="AJ265" s="321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</row>
    <row r="266" spans="1:112" s="961" customFormat="1" ht="15.75">
      <c r="A266" s="952"/>
      <c r="B266" s="953"/>
      <c r="C266" s="954"/>
      <c r="D266" s="955"/>
      <c r="E266" s="956"/>
      <c r="F266" s="957"/>
      <c r="G266" s="957"/>
      <c r="H266" s="957"/>
      <c r="I266" s="957"/>
      <c r="J266" s="957"/>
      <c r="K266" s="957"/>
      <c r="L266" s="957"/>
      <c r="M266" s="958"/>
      <c r="N266" s="51"/>
      <c r="O266" s="969"/>
      <c r="P266" s="970"/>
      <c r="Q266" s="52"/>
      <c r="R266" s="53"/>
      <c r="S266" s="29"/>
      <c r="T266" s="14"/>
      <c r="U266" s="29"/>
      <c r="V266" s="431"/>
      <c r="W266" s="29"/>
      <c r="X266" s="14"/>
      <c r="Y266" s="29"/>
      <c r="Z266" s="30"/>
      <c r="AA266" s="960"/>
      <c r="AC266" s="962"/>
      <c r="AD266" s="963"/>
      <c r="AE266" s="964"/>
      <c r="AF266" s="964"/>
      <c r="AG266" s="964"/>
      <c r="AH266" s="965"/>
      <c r="AI266" s="966"/>
      <c r="AJ266" s="321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</row>
    <row r="267" spans="1:112" s="961" customFormat="1" ht="15.75">
      <c r="A267" s="952"/>
      <c r="B267" s="953"/>
      <c r="C267" s="954"/>
      <c r="D267" s="955"/>
      <c r="E267" s="956"/>
      <c r="F267" s="957"/>
      <c r="G267" s="957"/>
      <c r="H267" s="957"/>
      <c r="I267" s="957"/>
      <c r="J267" s="957"/>
      <c r="K267" s="957"/>
      <c r="L267" s="957"/>
      <c r="M267" s="958"/>
      <c r="N267" s="51"/>
      <c r="O267" s="969"/>
      <c r="P267" s="970"/>
      <c r="Q267" s="52"/>
      <c r="R267" s="53"/>
      <c r="S267" s="29"/>
      <c r="T267" s="14"/>
      <c r="U267" s="29"/>
      <c r="V267" s="431"/>
      <c r="W267" s="29"/>
      <c r="X267" s="14"/>
      <c r="Y267" s="29"/>
      <c r="Z267" s="30"/>
      <c r="AA267" s="960"/>
      <c r="AC267" s="962"/>
      <c r="AD267" s="963"/>
      <c r="AE267" s="964"/>
      <c r="AF267" s="964"/>
      <c r="AG267" s="964"/>
      <c r="AH267" s="965"/>
      <c r="AI267" s="966"/>
      <c r="AJ267" s="321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</row>
    <row r="268" spans="1:112" s="961" customFormat="1" ht="15.75">
      <c r="A268" s="952"/>
      <c r="B268" s="953"/>
      <c r="C268" s="954"/>
      <c r="D268" s="955"/>
      <c r="E268" s="956"/>
      <c r="F268" s="957"/>
      <c r="G268" s="957"/>
      <c r="H268" s="957"/>
      <c r="I268" s="957"/>
      <c r="J268" s="957"/>
      <c r="K268" s="957"/>
      <c r="L268" s="957"/>
      <c r="M268" s="958"/>
      <c r="N268" s="51"/>
      <c r="O268" s="969"/>
      <c r="P268" s="970"/>
      <c r="Q268" s="52"/>
      <c r="R268" s="53"/>
      <c r="S268" s="29"/>
      <c r="T268" s="14"/>
      <c r="U268" s="29"/>
      <c r="V268" s="431"/>
      <c r="W268" s="29"/>
      <c r="X268" s="14"/>
      <c r="Y268" s="29"/>
      <c r="Z268" s="30"/>
      <c r="AA268" s="960"/>
      <c r="AC268" s="962"/>
      <c r="AD268" s="963"/>
      <c r="AE268" s="964"/>
      <c r="AF268" s="964"/>
      <c r="AG268" s="964"/>
      <c r="AH268" s="965"/>
      <c r="AI268" s="966"/>
      <c r="AJ268" s="321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</row>
    <row r="269" spans="1:112" s="14" customFormat="1" ht="15.75">
      <c r="A269" s="952"/>
      <c r="B269" s="953"/>
      <c r="C269" s="954"/>
      <c r="D269" s="955"/>
      <c r="E269" s="956"/>
      <c r="F269" s="957"/>
      <c r="G269" s="957"/>
      <c r="H269" s="957"/>
      <c r="I269" s="957"/>
      <c r="J269" s="957"/>
      <c r="K269" s="957"/>
      <c r="L269" s="957"/>
      <c r="M269" s="958"/>
      <c r="N269" s="51"/>
      <c r="O269" s="969"/>
      <c r="P269" s="970"/>
      <c r="Q269" s="52"/>
      <c r="R269" s="53"/>
      <c r="S269" s="29"/>
      <c r="U269" s="29"/>
      <c r="V269" s="431"/>
      <c r="W269" s="29"/>
      <c r="Y269" s="29"/>
      <c r="Z269" s="30"/>
      <c r="AA269" s="960"/>
      <c r="AB269" s="961"/>
      <c r="AC269" s="962"/>
      <c r="AD269" s="963"/>
      <c r="AE269" s="964"/>
      <c r="AF269" s="964"/>
      <c r="AG269" s="964"/>
      <c r="AH269" s="965"/>
      <c r="AI269" s="966"/>
      <c r="AJ269" s="321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</row>
    <row r="270" spans="1:112" s="14" customFormat="1" ht="15.75">
      <c r="A270" s="952"/>
      <c r="B270" s="953"/>
      <c r="C270" s="954"/>
      <c r="D270" s="955"/>
      <c r="E270" s="956"/>
      <c r="F270" s="957"/>
      <c r="G270" s="957"/>
      <c r="H270" s="957"/>
      <c r="I270" s="957"/>
      <c r="J270" s="957"/>
      <c r="K270" s="957"/>
      <c r="L270" s="957"/>
      <c r="M270" s="958"/>
      <c r="N270" s="51"/>
      <c r="O270" s="969"/>
      <c r="P270" s="970"/>
      <c r="Q270" s="52"/>
      <c r="R270" s="53"/>
      <c r="S270" s="29"/>
      <c r="U270" s="29"/>
      <c r="V270" s="431"/>
      <c r="W270" s="29"/>
      <c r="Y270" s="29"/>
      <c r="Z270" s="30"/>
      <c r="AA270" s="960"/>
      <c r="AB270" s="961"/>
      <c r="AC270" s="962"/>
      <c r="AD270" s="963"/>
      <c r="AE270" s="964"/>
      <c r="AF270" s="964"/>
      <c r="AG270" s="964"/>
      <c r="AH270" s="965"/>
      <c r="AI270" s="966"/>
      <c r="AJ270" s="321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</row>
    <row r="271" spans="1:112" s="14" customFormat="1" ht="15.75">
      <c r="A271" s="952"/>
      <c r="B271" s="953"/>
      <c r="C271" s="954"/>
      <c r="D271" s="955"/>
      <c r="E271" s="956"/>
      <c r="F271" s="957"/>
      <c r="G271" s="957"/>
      <c r="H271" s="957"/>
      <c r="I271" s="957"/>
      <c r="J271" s="957"/>
      <c r="K271" s="957"/>
      <c r="L271" s="957"/>
      <c r="M271" s="958"/>
      <c r="N271" s="51"/>
      <c r="O271" s="969"/>
      <c r="P271" s="970"/>
      <c r="Q271" s="52"/>
      <c r="R271" s="53"/>
      <c r="S271" s="29"/>
      <c r="U271" s="29"/>
      <c r="V271" s="431"/>
      <c r="W271" s="29"/>
      <c r="Y271" s="29"/>
      <c r="Z271" s="30"/>
      <c r="AA271" s="960"/>
      <c r="AB271" s="961"/>
      <c r="AC271" s="962"/>
      <c r="AD271" s="963"/>
      <c r="AE271" s="964"/>
      <c r="AF271" s="964"/>
      <c r="AG271" s="964"/>
      <c r="AH271" s="965"/>
      <c r="AI271" s="966"/>
      <c r="AJ271" s="32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</row>
    <row r="272" spans="1:112" s="14" customFormat="1" ht="15.75">
      <c r="A272" s="952"/>
      <c r="B272" s="953"/>
      <c r="C272" s="954"/>
      <c r="D272" s="955"/>
      <c r="E272" s="956"/>
      <c r="F272" s="957"/>
      <c r="G272" s="957"/>
      <c r="H272" s="957"/>
      <c r="I272" s="957"/>
      <c r="J272" s="957"/>
      <c r="K272" s="957"/>
      <c r="L272" s="957"/>
      <c r="M272" s="958"/>
      <c r="N272" s="51"/>
      <c r="O272" s="969"/>
      <c r="P272" s="970"/>
      <c r="Q272" s="52"/>
      <c r="R272" s="53"/>
      <c r="S272" s="29"/>
      <c r="U272" s="29"/>
      <c r="V272" s="431"/>
      <c r="W272" s="29"/>
      <c r="Y272" s="29"/>
      <c r="Z272" s="30"/>
      <c r="AA272" s="960"/>
      <c r="AB272" s="961"/>
      <c r="AC272" s="962"/>
      <c r="AD272" s="963"/>
      <c r="AE272" s="964"/>
      <c r="AF272" s="964"/>
      <c r="AG272" s="964"/>
      <c r="AH272" s="965"/>
      <c r="AI272" s="966"/>
      <c r="AJ272" s="321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</row>
    <row r="273" spans="1:112" s="14" customFormat="1" ht="15.75">
      <c r="A273" s="952"/>
      <c r="B273" s="953"/>
      <c r="C273" s="954"/>
      <c r="D273" s="955"/>
      <c r="E273" s="956"/>
      <c r="F273" s="957"/>
      <c r="G273" s="957"/>
      <c r="H273" s="957"/>
      <c r="I273" s="957"/>
      <c r="J273" s="957"/>
      <c r="K273" s="957"/>
      <c r="L273" s="957"/>
      <c r="M273" s="958"/>
      <c r="N273" s="51"/>
      <c r="O273" s="969"/>
      <c r="P273" s="970"/>
      <c r="Q273" s="52"/>
      <c r="R273" s="53"/>
      <c r="S273" s="29"/>
      <c r="U273" s="29"/>
      <c r="V273" s="431"/>
      <c r="W273" s="29"/>
      <c r="Y273" s="29"/>
      <c r="Z273" s="30"/>
      <c r="AA273" s="960"/>
      <c r="AB273" s="961"/>
      <c r="AC273" s="962"/>
      <c r="AD273" s="963"/>
      <c r="AE273" s="964"/>
      <c r="AF273" s="964"/>
      <c r="AG273" s="964"/>
      <c r="AH273" s="965"/>
      <c r="AI273" s="966"/>
      <c r="AJ273" s="321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</row>
    <row r="274" spans="1:112" s="14" customFormat="1" ht="15.75">
      <c r="A274" s="952"/>
      <c r="B274" s="953"/>
      <c r="C274" s="954"/>
      <c r="D274" s="955"/>
      <c r="E274" s="956"/>
      <c r="F274" s="957"/>
      <c r="G274" s="957"/>
      <c r="H274" s="957"/>
      <c r="I274" s="957"/>
      <c r="J274" s="957"/>
      <c r="K274" s="957"/>
      <c r="L274" s="957"/>
      <c r="M274" s="958"/>
      <c r="N274" s="51"/>
      <c r="O274" s="969"/>
      <c r="P274" s="970"/>
      <c r="Q274" s="52"/>
      <c r="R274" s="53"/>
      <c r="S274" s="29"/>
      <c r="U274" s="29"/>
      <c r="V274" s="431"/>
      <c r="W274" s="29"/>
      <c r="Y274" s="29"/>
      <c r="Z274" s="30"/>
      <c r="AA274" s="960"/>
      <c r="AB274" s="961"/>
      <c r="AC274" s="962"/>
      <c r="AD274" s="963"/>
      <c r="AE274" s="964"/>
      <c r="AF274" s="964"/>
      <c r="AG274" s="964"/>
      <c r="AH274" s="965"/>
      <c r="AI274" s="966"/>
      <c r="AJ274" s="321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</row>
    <row r="275" spans="1:112" s="14" customFormat="1" ht="15.75">
      <c r="A275" s="952"/>
      <c r="B275" s="953"/>
      <c r="C275" s="954"/>
      <c r="D275" s="955"/>
      <c r="E275" s="956"/>
      <c r="F275" s="957"/>
      <c r="G275" s="957"/>
      <c r="H275" s="957"/>
      <c r="I275" s="957"/>
      <c r="J275" s="957"/>
      <c r="K275" s="957"/>
      <c r="L275" s="957"/>
      <c r="M275" s="958"/>
      <c r="N275" s="51"/>
      <c r="O275" s="969"/>
      <c r="P275" s="970"/>
      <c r="Q275" s="52"/>
      <c r="R275" s="53"/>
      <c r="S275" s="29"/>
      <c r="U275" s="29"/>
      <c r="V275" s="431"/>
      <c r="W275" s="29"/>
      <c r="Y275" s="29"/>
      <c r="Z275" s="30"/>
      <c r="AA275" s="960"/>
      <c r="AB275" s="961"/>
      <c r="AC275" s="962"/>
      <c r="AD275" s="963"/>
      <c r="AE275" s="964"/>
      <c r="AF275" s="964"/>
      <c r="AG275" s="964"/>
      <c r="AH275" s="965"/>
      <c r="AI275" s="966"/>
      <c r="AJ275" s="321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</row>
    <row r="276" spans="1:112" s="14" customFormat="1" ht="15.75">
      <c r="A276" s="952"/>
      <c r="B276" s="953"/>
      <c r="C276" s="954"/>
      <c r="D276" s="955"/>
      <c r="E276" s="956"/>
      <c r="F276" s="957"/>
      <c r="G276" s="957"/>
      <c r="H276" s="957"/>
      <c r="I276" s="957"/>
      <c r="J276" s="957"/>
      <c r="K276" s="957"/>
      <c r="L276" s="957"/>
      <c r="M276" s="971"/>
      <c r="N276" s="972"/>
      <c r="O276" s="973"/>
      <c r="P276" s="52"/>
      <c r="Q276" s="52"/>
      <c r="R276" s="53"/>
      <c r="S276" s="29"/>
      <c r="U276" s="29"/>
      <c r="V276" s="431"/>
      <c r="W276" s="29"/>
      <c r="Y276" s="29"/>
      <c r="Z276" s="30"/>
      <c r="AA276" s="960"/>
      <c r="AB276" s="961"/>
      <c r="AC276" s="962"/>
      <c r="AD276" s="963"/>
      <c r="AE276" s="964"/>
      <c r="AF276" s="964"/>
      <c r="AG276" s="964"/>
      <c r="AH276" s="965"/>
      <c r="AI276" s="966"/>
      <c r="AJ276" s="321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</row>
    <row r="277" spans="1:112" s="14" customFormat="1" ht="18.75">
      <c r="A277" s="952"/>
      <c r="B277" s="953"/>
      <c r="C277" s="954"/>
      <c r="D277" s="955"/>
      <c r="E277" s="956"/>
      <c r="F277" s="957"/>
      <c r="G277" s="957"/>
      <c r="H277" s="957"/>
      <c r="I277" s="957"/>
      <c r="J277" s="957"/>
      <c r="K277" s="957"/>
      <c r="L277" s="957"/>
      <c r="M277" s="971"/>
      <c r="N277" s="974"/>
      <c r="O277" s="654"/>
      <c r="P277" s="975"/>
      <c r="Q277" s="976"/>
      <c r="R277" s="53"/>
      <c r="S277" s="29"/>
      <c r="U277" s="29"/>
      <c r="V277" s="431"/>
      <c r="W277" s="29"/>
      <c r="Y277" s="29"/>
      <c r="Z277" s="30"/>
      <c r="AA277" s="960"/>
      <c r="AB277" s="961"/>
      <c r="AC277" s="962"/>
      <c r="AD277" s="963"/>
      <c r="AE277" s="964"/>
      <c r="AF277" s="964"/>
      <c r="AG277" s="964"/>
      <c r="AH277" s="965"/>
      <c r="AI277" s="966"/>
      <c r="AJ277" s="321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</row>
    <row r="278" spans="1:112" s="14" customFormat="1" ht="15.75">
      <c r="A278" s="952"/>
      <c r="B278" s="953"/>
      <c r="C278" s="954"/>
      <c r="D278" s="955"/>
      <c r="E278" s="956"/>
      <c r="F278" s="957"/>
      <c r="G278" s="957"/>
      <c r="H278" s="957"/>
      <c r="I278" s="957"/>
      <c r="J278" s="957"/>
      <c r="K278" s="957"/>
      <c r="L278" s="957"/>
      <c r="M278" s="971"/>
      <c r="N278" s="974"/>
      <c r="O278" s="654"/>
      <c r="P278" s="977"/>
      <c r="Q278" s="978"/>
      <c r="R278" s="53"/>
      <c r="S278" s="29"/>
      <c r="U278" s="29"/>
      <c r="V278" s="431"/>
      <c r="W278" s="29"/>
      <c r="Y278" s="29"/>
      <c r="Z278" s="30"/>
      <c r="AA278" s="960"/>
      <c r="AB278" s="961"/>
      <c r="AC278" s="962"/>
      <c r="AD278" s="963"/>
      <c r="AE278" s="964"/>
      <c r="AF278" s="964"/>
      <c r="AG278" s="964"/>
      <c r="AH278" s="965"/>
      <c r="AI278" s="966"/>
      <c r="AJ278" s="321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</row>
    <row r="279" spans="1:112" s="14" customFormat="1" ht="15.75">
      <c r="A279" s="952"/>
      <c r="B279" s="953"/>
      <c r="C279" s="954"/>
      <c r="D279" s="955"/>
      <c r="E279" s="956"/>
      <c r="F279" s="957"/>
      <c r="G279" s="957"/>
      <c r="H279" s="957"/>
      <c r="I279" s="957"/>
      <c r="J279" s="957"/>
      <c r="K279" s="957"/>
      <c r="L279" s="957"/>
      <c r="M279" s="971"/>
      <c r="N279" s="974"/>
      <c r="O279" s="654"/>
      <c r="P279" s="979"/>
      <c r="Q279" s="980"/>
      <c r="R279" s="53"/>
      <c r="S279" s="29"/>
      <c r="U279" s="29"/>
      <c r="V279" s="431"/>
      <c r="W279" s="29"/>
      <c r="Y279" s="29"/>
      <c r="Z279" s="30"/>
      <c r="AA279" s="960"/>
      <c r="AB279" s="961"/>
      <c r="AC279" s="962"/>
      <c r="AD279" s="963"/>
      <c r="AE279" s="964"/>
      <c r="AF279" s="964"/>
      <c r="AG279" s="964"/>
      <c r="AH279" s="965"/>
      <c r="AI279" s="966"/>
      <c r="AJ279" s="321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</row>
    <row r="280" spans="1:112" s="14" customFormat="1" ht="15.75">
      <c r="A280" s="952"/>
      <c r="B280" s="953"/>
      <c r="C280" s="954"/>
      <c r="D280" s="955"/>
      <c r="E280" s="956"/>
      <c r="F280" s="957"/>
      <c r="G280" s="957"/>
      <c r="H280" s="957"/>
      <c r="I280" s="957"/>
      <c r="J280" s="957"/>
      <c r="K280" s="957"/>
      <c r="L280" s="957"/>
      <c r="M280" s="971"/>
      <c r="N280" s="972"/>
      <c r="O280" s="654"/>
      <c r="P280" s="979"/>
      <c r="Q280" s="981"/>
      <c r="R280" s="53"/>
      <c r="S280" s="29"/>
      <c r="U280" s="29"/>
      <c r="V280" s="431"/>
      <c r="W280" s="29"/>
      <c r="Y280" s="29"/>
      <c r="Z280" s="30"/>
      <c r="AA280" s="960"/>
      <c r="AB280" s="961"/>
      <c r="AC280" s="962"/>
      <c r="AD280" s="963"/>
      <c r="AE280" s="964"/>
      <c r="AF280" s="964"/>
      <c r="AG280" s="964"/>
      <c r="AH280" s="965"/>
      <c r="AI280" s="966"/>
      <c r="AJ280" s="321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</row>
    <row r="281" spans="1:112" s="14" customFormat="1" ht="15.75">
      <c r="A281" s="952"/>
      <c r="B281" s="953"/>
      <c r="C281" s="954"/>
      <c r="D281" s="955"/>
      <c r="E281" s="956"/>
      <c r="F281" s="957"/>
      <c r="G281" s="957"/>
      <c r="H281" s="957"/>
      <c r="I281" s="957"/>
      <c r="J281" s="957"/>
      <c r="K281" s="957"/>
      <c r="L281" s="957"/>
      <c r="M281" s="982"/>
      <c r="N281" s="974"/>
      <c r="O281" s="973"/>
      <c r="P281" s="983"/>
      <c r="Q281" s="984"/>
      <c r="R281" s="53"/>
      <c r="S281" s="29"/>
      <c r="U281" s="29"/>
      <c r="V281" s="431"/>
      <c r="W281" s="29"/>
      <c r="Y281" s="29"/>
      <c r="Z281" s="30"/>
      <c r="AA281" s="960"/>
      <c r="AB281" s="961"/>
      <c r="AC281" s="962"/>
      <c r="AD281" s="963"/>
      <c r="AE281" s="964"/>
      <c r="AF281" s="964"/>
      <c r="AG281" s="964"/>
      <c r="AH281" s="965"/>
      <c r="AI281" s="966"/>
      <c r="AJ281" s="32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</row>
    <row r="282" spans="1:112" s="14" customFormat="1" ht="15.75">
      <c r="A282" s="952"/>
      <c r="B282" s="953"/>
      <c r="C282" s="954"/>
      <c r="D282" s="955"/>
      <c r="E282" s="956"/>
      <c r="F282" s="957"/>
      <c r="G282" s="957"/>
      <c r="H282" s="957"/>
      <c r="I282" s="957"/>
      <c r="J282" s="957"/>
      <c r="K282" s="957"/>
      <c r="L282" s="957"/>
      <c r="M282" s="971"/>
      <c r="N282" s="972"/>
      <c r="O282" s="973"/>
      <c r="P282" s="52"/>
      <c r="Q282" s="52"/>
      <c r="R282" s="53"/>
      <c r="S282" s="29"/>
      <c r="U282" s="29"/>
      <c r="V282" s="431"/>
      <c r="W282" s="29"/>
      <c r="Y282" s="29"/>
      <c r="Z282" s="30"/>
      <c r="AA282" s="960"/>
      <c r="AB282" s="961"/>
      <c r="AC282" s="962"/>
      <c r="AD282" s="963"/>
      <c r="AE282" s="964"/>
      <c r="AF282" s="964"/>
      <c r="AG282" s="964"/>
      <c r="AH282" s="965"/>
      <c r="AI282" s="966"/>
      <c r="AJ282" s="321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</row>
    <row r="283" spans="1:112" s="14" customFormat="1" ht="15.75">
      <c r="A283" s="952"/>
      <c r="B283" s="953"/>
      <c r="C283" s="954"/>
      <c r="D283" s="955"/>
      <c r="E283" s="956"/>
      <c r="F283" s="957"/>
      <c r="G283" s="957"/>
      <c r="H283" s="957"/>
      <c r="I283" s="957"/>
      <c r="J283" s="957"/>
      <c r="K283" s="957"/>
      <c r="L283" s="957"/>
      <c r="M283" s="971"/>
      <c r="N283" s="972"/>
      <c r="O283" s="973"/>
      <c r="P283" s="52"/>
      <c r="Q283" s="52"/>
      <c r="R283" s="53"/>
      <c r="S283" s="29"/>
      <c r="U283" s="29"/>
      <c r="V283" s="431"/>
      <c r="W283" s="29"/>
      <c r="Y283" s="29"/>
      <c r="Z283" s="30"/>
      <c r="AA283" s="960"/>
      <c r="AB283" s="961"/>
      <c r="AC283" s="962"/>
      <c r="AD283" s="963"/>
      <c r="AE283" s="964"/>
      <c r="AF283" s="964"/>
      <c r="AG283" s="964"/>
      <c r="AH283" s="965"/>
      <c r="AI283" s="966"/>
      <c r="AJ283" s="321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</row>
    <row r="284" spans="1:112" s="14" customFormat="1" ht="15.75">
      <c r="A284" s="952"/>
      <c r="B284" s="953"/>
      <c r="C284" s="954"/>
      <c r="D284" s="955"/>
      <c r="E284" s="956"/>
      <c r="F284" s="957"/>
      <c r="G284" s="957"/>
      <c r="H284" s="957"/>
      <c r="I284" s="957"/>
      <c r="J284" s="957"/>
      <c r="K284" s="957"/>
      <c r="L284" s="957"/>
      <c r="M284" s="971"/>
      <c r="N284" s="972"/>
      <c r="O284" s="973"/>
      <c r="P284" s="52"/>
      <c r="Q284" s="52"/>
      <c r="R284" s="53"/>
      <c r="S284" s="29"/>
      <c r="U284" s="29"/>
      <c r="V284" s="431"/>
      <c r="W284" s="29"/>
      <c r="Y284" s="29"/>
      <c r="Z284" s="30"/>
      <c r="AA284" s="960"/>
      <c r="AB284" s="961"/>
      <c r="AC284" s="962"/>
      <c r="AD284" s="963"/>
      <c r="AE284" s="964"/>
      <c r="AF284" s="964"/>
      <c r="AG284" s="964"/>
      <c r="AH284" s="965"/>
      <c r="AI284" s="966"/>
      <c r="AJ284" s="321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</row>
    <row r="285" spans="1:22" ht="15.75">
      <c r="A285" s="952"/>
      <c r="M285" s="958"/>
      <c r="N285" s="51"/>
      <c r="O285" s="969"/>
      <c r="P285" s="970"/>
      <c r="Q285" s="52"/>
      <c r="R285" s="53"/>
      <c r="V285" s="431"/>
    </row>
    <row r="286" spans="1:22" ht="15.75">
      <c r="A286" s="952"/>
      <c r="M286" s="958"/>
      <c r="N286" s="51"/>
      <c r="O286" s="969"/>
      <c r="P286" s="970"/>
      <c r="Q286" s="52"/>
      <c r="R286" s="53"/>
      <c r="V286" s="431"/>
    </row>
    <row r="287" spans="1:22" ht="15.75">
      <c r="A287" s="952"/>
      <c r="B287" s="985"/>
      <c r="F287" s="986"/>
      <c r="G287" s="986"/>
      <c r="H287" s="986"/>
      <c r="I287" s="986"/>
      <c r="J287" s="986"/>
      <c r="K287" s="986"/>
      <c r="L287" s="986"/>
      <c r="M287" s="987"/>
      <c r="N287" s="51"/>
      <c r="O287" s="52"/>
      <c r="P287" s="969"/>
      <c r="Q287" s="52"/>
      <c r="R287" s="53"/>
      <c r="U287" s="988"/>
      <c r="V287" s="431"/>
    </row>
    <row r="288" spans="13:22" ht="15.75">
      <c r="M288" s="971"/>
      <c r="N288" s="51"/>
      <c r="O288" s="52"/>
      <c r="P288" s="970"/>
      <c r="Q288" s="52"/>
      <c r="R288" s="53"/>
      <c r="V288" s="431"/>
    </row>
    <row r="289" spans="3:18" ht="15.75">
      <c r="C289" s="990"/>
      <c r="M289" s="971"/>
      <c r="N289" s="51"/>
      <c r="O289" s="52"/>
      <c r="P289" s="52"/>
      <c r="Q289" s="52"/>
      <c r="R289" s="53"/>
    </row>
    <row r="290" spans="3:18" ht="15.75">
      <c r="C290" s="991"/>
      <c r="M290" s="971"/>
      <c r="N290" s="51"/>
      <c r="O290" s="52"/>
      <c r="P290" s="52"/>
      <c r="Q290" s="52"/>
      <c r="R290" s="53"/>
    </row>
    <row r="291" spans="3:18" ht="15.75">
      <c r="C291" s="991"/>
      <c r="M291" s="971"/>
      <c r="N291" s="51"/>
      <c r="O291" s="52"/>
      <c r="P291" s="52"/>
      <c r="Q291" s="52"/>
      <c r="R291" s="53"/>
    </row>
    <row r="292" spans="3:18" ht="15.75">
      <c r="C292" s="991"/>
      <c r="M292" s="971"/>
      <c r="N292" s="51"/>
      <c r="O292" s="52"/>
      <c r="P292" s="52"/>
      <c r="Q292" s="52"/>
      <c r="R292" s="53"/>
    </row>
    <row r="293" spans="3:18" ht="15.75">
      <c r="C293" s="991"/>
      <c r="M293" s="971"/>
      <c r="N293" s="51"/>
      <c r="O293" s="52"/>
      <c r="P293" s="52"/>
      <c r="Q293" s="52"/>
      <c r="R293" s="53"/>
    </row>
    <row r="294" spans="3:18" ht="15.75">
      <c r="C294" s="991"/>
      <c r="M294" s="971"/>
      <c r="N294" s="51"/>
      <c r="O294" s="52"/>
      <c r="P294" s="52"/>
      <c r="Q294" s="52"/>
      <c r="R294" s="53"/>
    </row>
    <row r="295" spans="1:36" s="14" customFormat="1" ht="15.75">
      <c r="A295" s="989"/>
      <c r="B295" s="953"/>
      <c r="C295" s="992"/>
      <c r="D295" s="955"/>
      <c r="E295" s="956"/>
      <c r="F295" s="957"/>
      <c r="G295" s="957"/>
      <c r="H295" s="957"/>
      <c r="I295" s="957"/>
      <c r="J295" s="957"/>
      <c r="K295" s="957"/>
      <c r="L295" s="957"/>
      <c r="M295" s="971"/>
      <c r="N295" s="51"/>
      <c r="O295" s="52"/>
      <c r="P295" s="52"/>
      <c r="Q295" s="52"/>
      <c r="R295" s="53"/>
      <c r="S295" s="29"/>
      <c r="U295" s="29"/>
      <c r="W295" s="29"/>
      <c r="Y295" s="29"/>
      <c r="Z295" s="30"/>
      <c r="AA295" s="31"/>
      <c r="AB295" s="32"/>
      <c r="AC295" s="33"/>
      <c r="AD295" s="34"/>
      <c r="AE295" s="35"/>
      <c r="AF295" s="35"/>
      <c r="AG295" s="35"/>
      <c r="AH295" s="36"/>
      <c r="AI295" s="22"/>
      <c r="AJ295" s="23"/>
    </row>
    <row r="296" spans="1:36" s="14" customFormat="1" ht="15.75">
      <c r="A296" s="989"/>
      <c r="B296" s="953"/>
      <c r="C296" s="954"/>
      <c r="D296" s="955"/>
      <c r="E296" s="956"/>
      <c r="F296" s="957"/>
      <c r="G296" s="957"/>
      <c r="H296" s="957"/>
      <c r="I296" s="957"/>
      <c r="J296" s="957"/>
      <c r="K296" s="957"/>
      <c r="L296" s="957"/>
      <c r="M296" s="971"/>
      <c r="N296" s="51"/>
      <c r="O296" s="52"/>
      <c r="P296" s="52"/>
      <c r="Q296" s="52"/>
      <c r="R296" s="53"/>
      <c r="S296" s="29"/>
      <c r="U296" s="29"/>
      <c r="W296" s="29"/>
      <c r="Y296" s="29"/>
      <c r="Z296" s="30"/>
      <c r="AA296" s="31"/>
      <c r="AB296" s="32"/>
      <c r="AC296" s="33"/>
      <c r="AD296" s="34"/>
      <c r="AE296" s="35"/>
      <c r="AF296" s="35"/>
      <c r="AG296" s="35"/>
      <c r="AH296" s="36"/>
      <c r="AI296" s="22"/>
      <c r="AJ296" s="23"/>
    </row>
    <row r="297" spans="1:36" s="14" customFormat="1" ht="15.75">
      <c r="A297" s="989"/>
      <c r="B297" s="953"/>
      <c r="C297" s="954"/>
      <c r="D297" s="955"/>
      <c r="E297" s="956"/>
      <c r="F297" s="957"/>
      <c r="G297" s="957"/>
      <c r="H297" s="957"/>
      <c r="I297" s="957"/>
      <c r="J297" s="957"/>
      <c r="K297" s="957"/>
      <c r="L297" s="957"/>
      <c r="M297" s="971"/>
      <c r="N297" s="51"/>
      <c r="O297" s="52"/>
      <c r="P297" s="52"/>
      <c r="Q297" s="52"/>
      <c r="R297" s="53"/>
      <c r="S297" s="29"/>
      <c r="U297" s="29"/>
      <c r="W297" s="29"/>
      <c r="Y297" s="29"/>
      <c r="Z297" s="30"/>
      <c r="AA297" s="31"/>
      <c r="AB297" s="32"/>
      <c r="AC297" s="33"/>
      <c r="AD297" s="34"/>
      <c r="AE297" s="35"/>
      <c r="AF297" s="35"/>
      <c r="AG297" s="35"/>
      <c r="AH297" s="36"/>
      <c r="AI297" s="22"/>
      <c r="AJ297" s="23"/>
    </row>
    <row r="298" spans="1:36" s="14" customFormat="1" ht="15.75">
      <c r="A298" s="989"/>
      <c r="B298" s="953"/>
      <c r="C298" s="954"/>
      <c r="D298" s="955"/>
      <c r="E298" s="956"/>
      <c r="F298" s="957"/>
      <c r="G298" s="957"/>
      <c r="H298" s="957"/>
      <c r="I298" s="957"/>
      <c r="J298" s="957"/>
      <c r="K298" s="957"/>
      <c r="L298" s="957"/>
      <c r="M298" s="971"/>
      <c r="N298" s="51"/>
      <c r="O298" s="52"/>
      <c r="P298" s="52"/>
      <c r="Q298" s="52"/>
      <c r="R298" s="53"/>
      <c r="S298" s="29"/>
      <c r="U298" s="29"/>
      <c r="W298" s="29"/>
      <c r="Y298" s="29"/>
      <c r="Z298" s="30"/>
      <c r="AA298" s="31"/>
      <c r="AB298" s="32"/>
      <c r="AC298" s="33"/>
      <c r="AD298" s="34"/>
      <c r="AE298" s="35"/>
      <c r="AF298" s="35"/>
      <c r="AG298" s="35"/>
      <c r="AH298" s="36"/>
      <c r="AI298" s="22"/>
      <c r="AJ298" s="23"/>
    </row>
    <row r="299" spans="1:36" s="14" customFormat="1" ht="15.75">
      <c r="A299" s="989"/>
      <c r="B299" s="953"/>
      <c r="C299" s="954"/>
      <c r="D299" s="955"/>
      <c r="E299" s="956"/>
      <c r="F299" s="957">
        <v>40</v>
      </c>
      <c r="G299" s="957">
        <v>41</v>
      </c>
      <c r="H299" s="957">
        <v>42</v>
      </c>
      <c r="I299" s="957">
        <v>43</v>
      </c>
      <c r="J299" s="957">
        <v>44</v>
      </c>
      <c r="K299" s="957"/>
      <c r="L299" s="957"/>
      <c r="M299" s="993"/>
      <c r="N299" s="26"/>
      <c r="O299" s="27"/>
      <c r="P299" s="27"/>
      <c r="Q299" s="27"/>
      <c r="R299" s="28"/>
      <c r="S299" s="29"/>
      <c r="U299" s="29"/>
      <c r="W299" s="29"/>
      <c r="Y299" s="29"/>
      <c r="Z299" s="30"/>
      <c r="AA299" s="31"/>
      <c r="AB299" s="32"/>
      <c r="AC299" s="33"/>
      <c r="AD299" s="34"/>
      <c r="AE299" s="35"/>
      <c r="AF299" s="35"/>
      <c r="AG299" s="35"/>
      <c r="AH299" s="36"/>
      <c r="AI299" s="22"/>
      <c r="AJ299" s="23"/>
    </row>
    <row r="300" spans="1:36" s="14" customFormat="1" ht="15.75">
      <c r="A300" s="989"/>
      <c r="B300" s="953"/>
      <c r="C300" s="954"/>
      <c r="D300" s="955"/>
      <c r="E300" s="956"/>
      <c r="F300" s="957">
        <v>4</v>
      </c>
      <c r="G300" s="957">
        <v>5</v>
      </c>
      <c r="H300" s="957">
        <v>6</v>
      </c>
      <c r="I300" s="957">
        <v>7</v>
      </c>
      <c r="J300" s="957">
        <v>8</v>
      </c>
      <c r="K300" s="957"/>
      <c r="L300" s="957"/>
      <c r="M300" s="993"/>
      <c r="N300" s="26"/>
      <c r="O300" s="27"/>
      <c r="P300" s="27"/>
      <c r="Q300" s="27"/>
      <c r="R300" s="28"/>
      <c r="S300" s="29"/>
      <c r="U300" s="29"/>
      <c r="W300" s="29"/>
      <c r="Y300" s="29"/>
      <c r="Z300" s="30"/>
      <c r="AA300" s="31"/>
      <c r="AB300" s="32"/>
      <c r="AC300" s="33"/>
      <c r="AD300" s="34"/>
      <c r="AE300" s="35"/>
      <c r="AF300" s="35"/>
      <c r="AG300" s="35"/>
      <c r="AH300" s="36"/>
      <c r="AI300" s="22"/>
      <c r="AJ300" s="23"/>
    </row>
    <row r="313" spans="1:36" s="298" customFormat="1" ht="15.75">
      <c r="A313" s="989"/>
      <c r="B313" s="953"/>
      <c r="C313" s="994"/>
      <c r="D313" s="995"/>
      <c r="E313" s="956"/>
      <c r="F313" s="996"/>
      <c r="G313" s="996"/>
      <c r="H313" s="996"/>
      <c r="I313" s="996"/>
      <c r="J313" s="996"/>
      <c r="K313" s="996"/>
      <c r="L313" s="996"/>
      <c r="M313" s="997"/>
      <c r="N313" s="26"/>
      <c r="O313" s="27"/>
      <c r="P313" s="27"/>
      <c r="Q313" s="27"/>
      <c r="R313" s="28"/>
      <c r="S313" s="29"/>
      <c r="T313" s="14"/>
      <c r="U313" s="29"/>
      <c r="V313" s="14"/>
      <c r="W313" s="29"/>
      <c r="X313" s="14"/>
      <c r="Y313" s="29"/>
      <c r="Z313" s="30"/>
      <c r="AA313" s="31"/>
      <c r="AB313" s="32"/>
      <c r="AC313" s="33"/>
      <c r="AD313" s="34"/>
      <c r="AE313" s="35"/>
      <c r="AF313" s="35"/>
      <c r="AG313" s="35"/>
      <c r="AH313" s="36"/>
      <c r="AI313" s="998"/>
      <c r="AJ313" s="999"/>
    </row>
  </sheetData>
  <sheetProtection/>
  <autoFilter ref="A19:F310"/>
  <mergeCells count="40">
    <mergeCell ref="E14:F14"/>
    <mergeCell ref="A15:J15"/>
    <mergeCell ref="A16:J16"/>
    <mergeCell ref="A17:J17"/>
    <mergeCell ref="A19:A20"/>
    <mergeCell ref="B19:B20"/>
    <mergeCell ref="C19:C20"/>
    <mergeCell ref="D19:D20"/>
    <mergeCell ref="E19:E20"/>
    <mergeCell ref="F19:F20"/>
    <mergeCell ref="G19:H19"/>
    <mergeCell ref="I19:I20"/>
    <mergeCell ref="J19:J20"/>
    <mergeCell ref="AA19:AH19"/>
    <mergeCell ref="B22:C22"/>
    <mergeCell ref="B25:C25"/>
    <mergeCell ref="B26:C26"/>
    <mergeCell ref="B27:C27"/>
    <mergeCell ref="B28:C28"/>
    <mergeCell ref="A31:A32"/>
    <mergeCell ref="A33:A34"/>
    <mergeCell ref="A36:A37"/>
    <mergeCell ref="A38:A39"/>
    <mergeCell ref="A46:A47"/>
    <mergeCell ref="A60:A61"/>
    <mergeCell ref="A65:A66"/>
    <mergeCell ref="A68:A69"/>
    <mergeCell ref="A76:A77"/>
    <mergeCell ref="A81:A82"/>
    <mergeCell ref="A100:A101"/>
    <mergeCell ref="B100:B101"/>
    <mergeCell ref="C127:C128"/>
    <mergeCell ref="C141:C142"/>
    <mergeCell ref="C145:C146"/>
    <mergeCell ref="C160:C165"/>
    <mergeCell ref="A232:A233"/>
    <mergeCell ref="C246:E246"/>
    <mergeCell ref="C248:E248"/>
    <mergeCell ref="E250:F250"/>
    <mergeCell ref="E253:F253"/>
  </mergeCells>
  <hyperlinks>
    <hyperlink ref="B133" r:id="rId1" display="ул. Без названия"/>
  </hyperlinks>
  <printOptions/>
  <pageMargins left="0.7086614173228347" right="0.31496062992125984" top="0.35433070866141736" bottom="0.35433070866141736" header="0.31496062992125984" footer="0.31496062992125984"/>
  <pageSetup fitToHeight="9" fitToWidth="1" horizontalDpi="600" verticalDpi="600" orientation="portrait" paperSize="9" scale="50" r:id="rId4"/>
  <rowBreaks count="1" manualBreakCount="1">
    <brk id="66" max="9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2024-05-10T13:15:12Z</cp:lastPrinted>
  <dcterms:created xsi:type="dcterms:W3CDTF">2024-05-10T12:37:22Z</dcterms:created>
  <dcterms:modified xsi:type="dcterms:W3CDTF">2024-05-10T13:26:56Z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